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<sst xmlns="http://schemas.openxmlformats.org/spreadsheetml/2006/main" count="454" uniqueCount="266">
  <si>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</si>
  <si>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</si>
  <si>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</si>
  <si>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</si>
  <si>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</si>
  <si>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</si>
  <si>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</si>
  <si>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</si>
  <si>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</si>
  <si>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</si>
  <si>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</si>
  <si>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</si>
  <si>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</si>
  <si>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</si>
  <si>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</si>
  <si>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</si>
  <si>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</si>
  <si>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</si>
  <si>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</si>
  <si>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</si>
  <si>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</si>
  <si>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</si>
  <si>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</si>
  <si>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</si>
  <si>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</si>
  <si>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</si>
  <si>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</si>
  <si>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</si>
  <si>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</si>
  <si>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</si>
  <si>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</si>
  <si>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</si>
  <si>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</si>
  <si>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</si>
  <si>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</si>
  <si>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</si>
  <si>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</si>
  <si>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</si>
  <si>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</si>
  <si>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</si>
  <si>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</si>
  <si>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</si>
  <si>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</si>
  <si>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</si>
  <si>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</si>
  <si>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</si>
  <si>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</si>
  <si>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</si>
  <si>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</si>
  <si>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</si>
  <si>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</si>
  <si>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</si>
  <si>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</si>
  <si>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</si>
  <si>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</si>
  <si>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</si>
  <si>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</si>
  <si>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</si>
  <si>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</si>
  <si>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</si>
  <si>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</si>
  <si>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</si>
  <si>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</si>
  <si>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</si>
  <si>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</si>
  <si>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</si>
  <si>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</si>
  <si>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</si>
  <si>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</si>
  <si>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</si>
  <si>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</si>
  <si>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</si>
  <si>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</si>
  <si>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</si>
  <si>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</si>
  <si>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</si>
  <si>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</si>
  <si>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</si>
  <si>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</si>
  <si>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</si>
  <si>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</si>
  <si>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</si>
  <si>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</si>
  <si>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</si>
  <si>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</si>
  <si>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</si>
  <si>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</si>
  <si>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</si>
  <si>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</si>
  <si>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</si>
  <si>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</si>
  <si>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</si>
  <si>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</si>
  <si>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</si>
  <si>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 2011 год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</si>
  <si>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</si>
  <si>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</si>
  <si>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</si>
  <si>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</si>
  <si>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</si>
  <si>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</si>
  <si>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</si>
  <si>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</si>
  <si>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</si>
  <si>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</si>
  <si>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</si>
  <si>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</si>
  <si>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</si>
  <si>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</si>
  <si>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</si>
  <si>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</si>
  <si>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</si>
  <si>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</si>
  <si>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</si>
  <si>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</si>
  <si>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</si>
  <si>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</si>
  <si>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</si>
  <si>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</si>
  <si>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</si>
  <si>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</si>
  <si>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</si>
  <si>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</si>
  <si>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</si>
  <si>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</si>
  <si>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</si>
  <si>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</si>
  <si>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</si>
  <si>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</si>
  <si>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</si>
  <si>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</si>
  <si>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</si>
  <si>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</si>
  <si>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</si>
  <si>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</si>
  <si>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</si>
  <si>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</si>
  <si>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</si>
  <si>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</si>
  <si>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</si>
  <si>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</si>
  <si>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</si>
  <si>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</si>
  <si>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</si>
  <si>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</si>
  <si>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</si>
  <si>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</si>
  <si>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</si>
  <si>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</si>
  <si>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</si>
  <si>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</si>
  <si>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</si>
  <si>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</si>
  <si>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</si>
  <si>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</si>
  <si>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</si>
  <si>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</si>
  <si>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</si>
  <si>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</si>
  <si>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</si>
  <si>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</si>
  <si>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</si>
  <si>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</si>
  <si>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</si>
  <si>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</si>
  <si>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</si>
  <si>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</si>
  <si>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</si>
  <si>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</si>
  <si>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</si>
  <si>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</si>
  <si>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</si>
  <si>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</si>
  <si>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</si>
  <si>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</si>
  <si>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</si>
  <si>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</si>
  <si>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</si>
  <si>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</si>
  <si>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</si>
  <si>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</si>
  <si>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</si>
  <si>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</si>
  <si>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</si>
  <si>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</si>
  <si>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</si>
  <si>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</si>
  <si>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</si>
  <si>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</si>
  <si>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</si>
  <si>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</si>
  <si>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</si>
  <si>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</si>
  <si>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</si>
  <si>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</si>
  <si>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</si>
  <si>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</si>
  <si>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</si>
  <si>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</si>
  <si>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</si>
  <si>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</si>
  <si>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</si>
  <si>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</si>
  <si>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</si>
  <si>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 xml:space="preserve"> 2012 год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</si>
  <si>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</si>
  <si>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</si>
  <si>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</si>
  <si>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</si>
  <si>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</si>
  <si>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</si>
  <si>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</si>
  <si>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</si>
  <si>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</si>
  <si>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</si>
  <si>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</si>
  <si>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</si>
  <si>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</si>
  <si>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</si>
  <si>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</si>
  <si>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</si>
  <si>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</si>
  <si>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</si>
  <si>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</si>
  <si>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</si>
  <si>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</si>
  <si>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Темп роста 
января-марта    2009 года 
к январю- марту    2008 года, % </t>
    </r>
    <r>
      <rPr>
        <vertAlign val="superscript"/>
        <sz val="14"/>
        <rFont val="Times New Roman Cyr"/>
        <family val="1"/>
      </rPr>
      <t>1</t>
    </r>
  </si>
  <si>
    <r>
      <t>Темп роста 2011 года к 2010 году, %</t>
    </r>
    <r>
      <rPr>
        <vertAlign val="superscript"/>
        <sz val="14"/>
        <rFont val="Times New Roman Cyr"/>
        <family val="1"/>
      </rPr>
      <t xml:space="preserve"> 1</t>
    </r>
  </si>
  <si>
    <r>
      <t>Темп роста 2012 года к 2011 году, %</t>
    </r>
    <r>
      <rPr>
        <vertAlign val="superscript"/>
        <sz val="14"/>
        <rFont val="Times New Roman Cyr"/>
        <family val="1"/>
      </rPr>
      <t>1</t>
    </r>
  </si>
  <si>
    <r>
      <t>Естествен</t>
    </r>
    <r>
      <rPr>
        <sz val="14"/>
        <rFont val="Times New Roman Cyr"/>
        <family val="0"/>
      </rPr>
      <t>ный прирост (убыль)</t>
    </r>
    <r>
      <rPr>
        <sz val="14"/>
        <rFont val="Times New Roman Cyr"/>
        <family val="1"/>
      </rPr>
      <t xml:space="preserve"> населения</t>
    </r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</si>
  <si>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</si>
  <si>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 3 </t>
    </r>
    <r>
      <rPr>
        <sz val="14"/>
        <rFont val="Times New Roman Cyr"/>
        <family val="0"/>
      </rPr>
      <t>- для муниципальных районов</t>
    </r>
  </si>
  <si>
    <t>тыс.усл.кв.м</t>
  </si>
  <si>
    <t>тыс.пл.куб.м</t>
  </si>
  <si>
    <t>усл.куб.м</t>
  </si>
  <si>
    <t>Вывозка древесины</t>
  </si>
  <si>
    <t>4.15</t>
  </si>
  <si>
    <r>
      <t xml:space="preserve">   2 </t>
    </r>
    <r>
      <rPr>
        <sz val="14"/>
        <rFont val="Times New Roman Cyr"/>
        <family val="0"/>
      </rPr>
      <t>- по состоянию на 01.01.2013</t>
    </r>
  </si>
  <si>
    <t>январь-март 2011 года</t>
  </si>
  <si>
    <t>январь-март 2012 года</t>
  </si>
  <si>
    <r>
      <t>Темп роста  января-марта 2011 года к январю-марту 2010 году, %</t>
    </r>
    <r>
      <rPr>
        <vertAlign val="superscript"/>
        <sz val="14"/>
        <rFont val="Times New Roman Cyr"/>
        <family val="1"/>
      </rPr>
      <t>1</t>
    </r>
  </si>
  <si>
    <r>
      <t>Темп роста  января-марта 2012 года к январю-марту 2011 году, %</t>
    </r>
    <r>
      <rPr>
        <vertAlign val="superscript"/>
        <sz val="14"/>
        <rFont val="Times New Roman Cyr"/>
        <family val="1"/>
      </rPr>
      <t>1</t>
    </r>
  </si>
  <si>
    <t>январь-март 2013 года</t>
  </si>
  <si>
    <r>
      <t>Темп роста  января-марта 2013 года к январю-марту 2012 году, %</t>
    </r>
    <r>
      <rPr>
        <vertAlign val="superscript"/>
        <sz val="14"/>
        <rFont val="Times New Roman Cyr"/>
        <family val="1"/>
      </rPr>
      <t>1</t>
    </r>
  </si>
  <si>
    <t>Численность населения (среднегодовая)</t>
  </si>
  <si>
    <t>Оценка 2013 год</t>
  </si>
  <si>
    <r>
      <t>Темп роста  2013 года к 2012 году, %</t>
    </r>
    <r>
      <rPr>
        <vertAlign val="superscript"/>
        <sz val="14"/>
        <rFont val="Times New Roman Cyr"/>
        <family val="1"/>
      </rPr>
      <t>1</t>
    </r>
  </si>
  <si>
    <t>в 2,9 р.</t>
  </si>
  <si>
    <t>в 2,7 р.</t>
  </si>
  <si>
    <t>социально-экономического развития МО городской округ город Югорск  за январь-март 2013 года</t>
  </si>
  <si>
    <t>в 4,8 р.</t>
  </si>
  <si>
    <t>в 2,3 р.</t>
  </si>
  <si>
    <t>в 4,2 р.</t>
  </si>
  <si>
    <t>в 2,2 р.</t>
  </si>
  <si>
    <t>в 6,4 р.</t>
  </si>
  <si>
    <t>в 6,7 р.</t>
  </si>
  <si>
    <t>в 58,1 р.</t>
  </si>
  <si>
    <t>Прибыль прибыльных предприятий*</t>
  </si>
  <si>
    <t>Кредиторская задолженность*</t>
  </si>
  <si>
    <t>Дебиторская задолженность*</t>
  </si>
  <si>
    <t>в 3,6 р.</t>
  </si>
  <si>
    <t>в 2,0 р.</t>
  </si>
  <si>
    <t>в 3,3 р.</t>
  </si>
  <si>
    <t>в 65,6 р.</t>
  </si>
  <si>
    <t>в 4,3 р.</t>
  </si>
  <si>
    <t>* - Сведения предоставлены по состоянию на 01.03.2013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</si>
</sst>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.0"/>
  </numFmts>
  <fonts count="58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 Cyr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 Cyr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30"/>
      <name val="Times New Roman Cyr"/>
      <family val="1"/>
    </font>
    <font>
      <sz val="12"/>
      <color indexed="4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7" fillId="32" borderId="10" xfId="0" applyFont="1" applyFill="1" applyBorder="1" applyAlignment="1" applyProtection="1">
      <alignment horizontal="left" vertical="center" wrapText="1" indent="1"/>
      <protection/>
    </xf>
    <xf numFmtId="0" fontId="17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6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169" fontId="14" fillId="0" borderId="0" xfId="0" applyNumberFormat="1" applyFont="1" applyAlignment="1">
      <alignment horizontal="center" vertical="center"/>
    </xf>
    <xf numFmtId="0" fontId="7" fillId="0" borderId="11" xfId="53" applyFont="1" applyFill="1" applyBorder="1" applyAlignment="1">
      <alignment horizontal="center" vertical="center" wrapText="1"/>
      <protection/>
    </xf>
    <xf numFmtId="169" fontId="7" fillId="0" borderId="11" xfId="53" applyNumberFormat="1" applyFont="1" applyFill="1" applyBorder="1" applyAlignment="1">
      <alignment horizontal="center" vertical="center" wrapText="1"/>
      <protection/>
    </xf>
    <xf numFmtId="16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169" fontId="7" fillId="0" borderId="10" xfId="53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4" fillId="0" borderId="10" xfId="53" applyFont="1" applyBorder="1" applyAlignment="1">
      <alignment horizontal="center" vertical="center" wrapText="1"/>
      <protection/>
    </xf>
    <xf numFmtId="1" fontId="7" fillId="0" borderId="10" xfId="0" applyNumberFormat="1" applyFont="1" applyBorder="1" applyAlignment="1">
      <alignment horizontal="center" vertical="center"/>
    </xf>
    <xf numFmtId="169" fontId="14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174" fontId="2" fillId="0" borderId="10" xfId="53" applyNumberFormat="1" applyFont="1" applyBorder="1" applyAlignment="1">
      <alignment horizontal="center" vertical="top"/>
      <protection/>
    </xf>
    <xf numFmtId="0" fontId="2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169" fontId="2" fillId="0" borderId="10" xfId="0" applyNumberFormat="1" applyFont="1" applyBorder="1" applyAlignment="1">
      <alignment horizontal="center" vertical="top" wrapText="1"/>
    </xf>
    <xf numFmtId="169" fontId="23" fillId="0" borderId="10" xfId="0" applyNumberFormat="1" applyFont="1" applyBorder="1" applyAlignment="1">
      <alignment horizontal="center" vertical="top"/>
    </xf>
    <xf numFmtId="169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/>
      <protection/>
    </xf>
    <xf numFmtId="169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showGridLines="0" tabSelected="1" view="pageLayout" zoomScale="57" zoomScaleSheetLayoutView="75" zoomScalePageLayoutView="57" workbookViewId="0" topLeftCell="A1">
      <selection activeCell="M4" sqref="M4"/>
    </sheetView>
  </sheetViews>
  <sheetFormatPr defaultColWidth="9.00390625" defaultRowHeight="12.75"/>
  <cols>
    <col min="1" max="1" width="9.125" style="1" customWidth="1"/>
    <col min="2" max="2" width="59.00390625" style="1" customWidth="1"/>
    <col min="3" max="3" width="23.25390625" style="1" customWidth="1"/>
    <col min="4" max="4" width="9.875" style="1" hidden="1" customWidth="1"/>
    <col min="5" max="5" width="11.25390625" style="1" hidden="1" customWidth="1"/>
    <col min="6" max="6" width="17.00390625" style="1" customWidth="1"/>
    <col min="7" max="7" width="18.375" style="1" customWidth="1"/>
    <col min="8" max="8" width="18.875" style="1" customWidth="1"/>
    <col min="9" max="9" width="19.75390625" style="1" customWidth="1"/>
    <col min="10" max="10" width="18.625" style="1" customWidth="1"/>
    <col min="11" max="12" width="19.00390625" style="1" customWidth="1"/>
    <col min="13" max="15" width="18.25390625" style="1" customWidth="1"/>
    <col min="16" max="16" width="15.00390625" style="1" customWidth="1"/>
    <col min="17" max="17" width="20.625" style="1" customWidth="1"/>
    <col min="18" max="16384" width="9.125" style="1" customWidth="1"/>
  </cols>
  <sheetData>
    <row r="1" spans="2:20" ht="20.25">
      <c r="B1" s="6"/>
      <c r="J1" s="3"/>
      <c r="K1" s="3"/>
      <c r="L1" s="3"/>
      <c r="M1" s="8"/>
      <c r="N1" s="8"/>
      <c r="O1" s="8"/>
      <c r="P1" s="8"/>
      <c r="Q1" s="7"/>
      <c r="R1" s="7"/>
      <c r="S1" s="7"/>
      <c r="T1" s="7"/>
    </row>
    <row r="2" spans="2:20" ht="20.25">
      <c r="B2" s="6"/>
      <c r="C2" s="5"/>
      <c r="J2" s="3"/>
      <c r="K2" s="3"/>
      <c r="L2" s="3"/>
      <c r="M2" s="8"/>
      <c r="N2" s="8"/>
      <c r="O2" s="8"/>
      <c r="P2" s="8"/>
      <c r="Q2" s="7"/>
      <c r="R2" s="7"/>
      <c r="S2" s="7"/>
      <c r="T2" s="7"/>
    </row>
    <row r="3" spans="2:20" ht="20.25">
      <c r="B3" s="6"/>
      <c r="C3" s="5"/>
      <c r="M3" s="7"/>
      <c r="N3" s="7"/>
      <c r="O3" s="7"/>
      <c r="P3" s="7"/>
      <c r="Q3" s="7"/>
      <c r="R3" s="7"/>
      <c r="S3" s="7"/>
      <c r="T3" s="7"/>
    </row>
    <row r="4" spans="2:12" s="3" customFormat="1" ht="20.25">
      <c r="B4" s="77" t="s">
        <v>85</v>
      </c>
      <c r="C4" s="78"/>
      <c r="D4" s="78"/>
      <c r="E4" s="78"/>
      <c r="F4" s="78"/>
      <c r="G4" s="78"/>
      <c r="H4" s="78"/>
      <c r="I4" s="78"/>
      <c r="J4" s="78"/>
      <c r="K4" s="78"/>
      <c r="L4" s="39"/>
    </row>
    <row r="5" spans="2:12" s="3" customFormat="1" ht="20.25">
      <c r="B5" s="9" t="s">
        <v>249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7" ht="99" customHeight="1">
      <c r="A7" s="10" t="s">
        <v>110</v>
      </c>
      <c r="B7" s="11" t="s">
        <v>0</v>
      </c>
      <c r="C7" s="11" t="s">
        <v>84</v>
      </c>
      <c r="D7" s="12" t="s">
        <v>91</v>
      </c>
      <c r="E7" s="12" t="s">
        <v>226</v>
      </c>
      <c r="F7" s="12" t="s">
        <v>238</v>
      </c>
      <c r="G7" s="12" t="s">
        <v>240</v>
      </c>
      <c r="H7" s="12" t="s">
        <v>94</v>
      </c>
      <c r="I7" s="12" t="s">
        <v>227</v>
      </c>
      <c r="J7" s="12" t="s">
        <v>239</v>
      </c>
      <c r="K7" s="12" t="s">
        <v>241</v>
      </c>
      <c r="L7" s="12" t="s">
        <v>204</v>
      </c>
      <c r="M7" s="12" t="s">
        <v>228</v>
      </c>
      <c r="N7" s="12" t="s">
        <v>242</v>
      </c>
      <c r="O7" s="12" t="s">
        <v>243</v>
      </c>
      <c r="P7" s="12" t="s">
        <v>245</v>
      </c>
      <c r="Q7" s="12" t="s">
        <v>246</v>
      </c>
    </row>
    <row r="8" spans="1:17" ht="20.25" customHeight="1">
      <c r="A8" s="13" t="s">
        <v>111</v>
      </c>
      <c r="B8" s="79" t="s">
        <v>72</v>
      </c>
      <c r="C8" s="80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5"/>
      <c r="P8" s="15"/>
      <c r="Q8" s="15"/>
    </row>
    <row r="9" spans="1:17" ht="25.5" customHeight="1">
      <c r="A9" s="16" t="s">
        <v>113</v>
      </c>
      <c r="B9" s="17" t="s">
        <v>244</v>
      </c>
      <c r="C9" s="18" t="s">
        <v>1</v>
      </c>
      <c r="D9" s="14"/>
      <c r="E9" s="14"/>
      <c r="F9" s="14">
        <v>34.3</v>
      </c>
      <c r="G9" s="40">
        <v>103</v>
      </c>
      <c r="H9" s="14">
        <v>34.6</v>
      </c>
      <c r="I9" s="43">
        <v>102.7</v>
      </c>
      <c r="J9" s="14">
        <v>35</v>
      </c>
      <c r="K9" s="40">
        <f>SUM(J9/F9)*100+ROUND(,1)</f>
        <v>102.04081632653062</v>
      </c>
      <c r="L9" s="14">
        <v>35.1</v>
      </c>
      <c r="M9" s="40">
        <f>SUM(L9/H9)*100+ROUND(,1)</f>
        <v>101.44508670520231</v>
      </c>
      <c r="N9" s="44">
        <v>35.4</v>
      </c>
      <c r="O9" s="43">
        <f>SUM(N9/J9)*100+ROUND(,1)</f>
        <v>101.14285714285714</v>
      </c>
      <c r="P9" s="44">
        <v>35.5</v>
      </c>
      <c r="Q9" s="43">
        <f>SUM(P9/L9)*100+ROUND(,1)</f>
        <v>101.13960113960114</v>
      </c>
    </row>
    <row r="10" spans="1:17" ht="18.75" customHeight="1">
      <c r="A10" s="16" t="s">
        <v>114</v>
      </c>
      <c r="B10" s="19" t="s">
        <v>229</v>
      </c>
      <c r="C10" s="18" t="s">
        <v>86</v>
      </c>
      <c r="D10" s="14"/>
      <c r="E10" s="14"/>
      <c r="F10" s="14">
        <v>124</v>
      </c>
      <c r="G10" s="40">
        <v>117</v>
      </c>
      <c r="H10" s="14">
        <v>362</v>
      </c>
      <c r="I10" s="43">
        <v>106.5</v>
      </c>
      <c r="J10" s="14">
        <v>91</v>
      </c>
      <c r="K10" s="40">
        <f aca="true" t="shared" si="0" ref="K10:K20">SUM(J10/F10)*100+ROUND(,1)</f>
        <v>73.38709677419355</v>
      </c>
      <c r="L10" s="14">
        <v>349</v>
      </c>
      <c r="M10" s="40">
        <f aca="true" t="shared" si="1" ref="M10:M20">SUM(L10/H10)*100+ROUND(,1)</f>
        <v>96.40883977900553</v>
      </c>
      <c r="N10" s="44">
        <v>77</v>
      </c>
      <c r="O10" s="43">
        <f aca="true" t="shared" si="2" ref="O10:O20">SUM(N10/J10)*100+ROUND(,1)</f>
        <v>84.61538461538461</v>
      </c>
      <c r="P10" s="44">
        <v>352</v>
      </c>
      <c r="Q10" s="43">
        <f aca="true" t="shared" si="3" ref="Q10:Q20">SUM(P10/L10)*100+ROUND(,1)</f>
        <v>100.85959885386819</v>
      </c>
    </row>
    <row r="11" spans="1:17" ht="20.25" customHeight="1">
      <c r="A11" s="16" t="s">
        <v>115</v>
      </c>
      <c r="B11" s="19" t="s">
        <v>70</v>
      </c>
      <c r="C11" s="18" t="s">
        <v>86</v>
      </c>
      <c r="D11" s="14"/>
      <c r="E11" s="14"/>
      <c r="F11" s="14">
        <v>50</v>
      </c>
      <c r="G11" s="40">
        <v>119</v>
      </c>
      <c r="H11" s="14">
        <v>501</v>
      </c>
      <c r="I11" s="43">
        <v>226.7</v>
      </c>
      <c r="J11" s="14">
        <v>2</v>
      </c>
      <c r="K11" s="40">
        <f t="shared" si="0"/>
        <v>4</v>
      </c>
      <c r="L11" s="14">
        <v>39</v>
      </c>
      <c r="M11" s="40">
        <f t="shared" si="1"/>
        <v>7.784431137724551</v>
      </c>
      <c r="N11" s="44">
        <v>85</v>
      </c>
      <c r="O11" s="43">
        <f t="shared" si="2"/>
        <v>4250</v>
      </c>
      <c r="P11" s="44">
        <v>52</v>
      </c>
      <c r="Q11" s="43">
        <f t="shared" si="3"/>
        <v>133.33333333333331</v>
      </c>
    </row>
    <row r="12" spans="1:17" ht="20.25" customHeight="1">
      <c r="A12" s="13" t="s">
        <v>112</v>
      </c>
      <c r="B12" s="81" t="s">
        <v>73</v>
      </c>
      <c r="C12" s="74"/>
      <c r="D12" s="14"/>
      <c r="E12" s="14"/>
      <c r="F12" s="14"/>
      <c r="G12" s="40"/>
      <c r="H12" s="14"/>
      <c r="I12" s="43"/>
      <c r="J12" s="14"/>
      <c r="K12" s="40"/>
      <c r="L12" s="14"/>
      <c r="M12" s="40"/>
      <c r="N12" s="44"/>
      <c r="O12" s="43"/>
      <c r="P12" s="44"/>
      <c r="Q12" s="43"/>
    </row>
    <row r="13" spans="1:17" ht="57.75" customHeight="1">
      <c r="A13" s="16" t="s">
        <v>116</v>
      </c>
      <c r="B13" s="17" t="s">
        <v>57</v>
      </c>
      <c r="C13" s="20" t="s">
        <v>1</v>
      </c>
      <c r="D13" s="14"/>
      <c r="E13" s="14"/>
      <c r="F13" s="14">
        <v>16</v>
      </c>
      <c r="G13" s="40">
        <v>100.6</v>
      </c>
      <c r="H13" s="14">
        <v>16</v>
      </c>
      <c r="I13" s="43">
        <v>93</v>
      </c>
      <c r="J13" s="14">
        <v>15.9</v>
      </c>
      <c r="K13" s="40">
        <f t="shared" si="0"/>
        <v>99.375</v>
      </c>
      <c r="L13" s="14">
        <v>17.1</v>
      </c>
      <c r="M13" s="40">
        <f t="shared" si="1"/>
        <v>106.87500000000001</v>
      </c>
      <c r="N13" s="44">
        <v>16.1</v>
      </c>
      <c r="O13" s="43">
        <f t="shared" si="2"/>
        <v>101.25786163522012</v>
      </c>
      <c r="P13" s="44">
        <v>17.2</v>
      </c>
      <c r="Q13" s="43">
        <f t="shared" si="3"/>
        <v>100.58479532163742</v>
      </c>
    </row>
    <row r="14" spans="1:17" ht="64.5" customHeight="1">
      <c r="A14" s="16" t="s">
        <v>117</v>
      </c>
      <c r="B14" s="17" t="s">
        <v>58</v>
      </c>
      <c r="C14" s="20" t="s">
        <v>1</v>
      </c>
      <c r="D14" s="14"/>
      <c r="E14" s="14"/>
      <c r="F14" s="14">
        <v>13.7</v>
      </c>
      <c r="G14" s="40">
        <v>98.6</v>
      </c>
      <c r="H14" s="14">
        <v>13.7</v>
      </c>
      <c r="I14" s="43">
        <v>97.2</v>
      </c>
      <c r="J14" s="14">
        <v>13.8</v>
      </c>
      <c r="K14" s="40">
        <f t="shared" si="0"/>
        <v>100.72992700729928</v>
      </c>
      <c r="L14" s="14">
        <v>14</v>
      </c>
      <c r="M14" s="40">
        <f t="shared" si="1"/>
        <v>102.18978102189782</v>
      </c>
      <c r="N14" s="44">
        <v>13.7</v>
      </c>
      <c r="O14" s="43">
        <f t="shared" si="2"/>
        <v>99.27536231884056</v>
      </c>
      <c r="P14" s="44">
        <v>14.1</v>
      </c>
      <c r="Q14" s="43">
        <f t="shared" si="3"/>
        <v>100.71428571428571</v>
      </c>
    </row>
    <row r="15" spans="1:17" ht="83.25" customHeight="1">
      <c r="A15" s="16" t="s">
        <v>118</v>
      </c>
      <c r="B15" s="17" t="s">
        <v>96</v>
      </c>
      <c r="C15" s="20" t="s">
        <v>1</v>
      </c>
      <c r="D15" s="14"/>
      <c r="E15" s="14"/>
      <c r="F15" s="14">
        <v>0.368</v>
      </c>
      <c r="G15" s="40">
        <v>98.7</v>
      </c>
      <c r="H15" s="14">
        <v>1.352</v>
      </c>
      <c r="I15" s="43">
        <v>80.6</v>
      </c>
      <c r="J15" s="14">
        <v>0.341</v>
      </c>
      <c r="K15" s="40">
        <f t="shared" si="0"/>
        <v>92.66304347826087</v>
      </c>
      <c r="L15" s="14">
        <v>1.282</v>
      </c>
      <c r="M15" s="40">
        <f t="shared" si="1"/>
        <v>94.82248520710058</v>
      </c>
      <c r="N15" s="44">
        <v>0.349</v>
      </c>
      <c r="O15" s="43">
        <f t="shared" si="2"/>
        <v>102.34604105571844</v>
      </c>
      <c r="P15" s="44">
        <v>1.275</v>
      </c>
      <c r="Q15" s="43">
        <f t="shared" si="3"/>
        <v>99.45397815912635</v>
      </c>
    </row>
    <row r="16" spans="1:17" ht="47.25" customHeight="1">
      <c r="A16" s="16" t="s">
        <v>119</v>
      </c>
      <c r="B16" s="17" t="s">
        <v>95</v>
      </c>
      <c r="C16" s="20" t="s">
        <v>1</v>
      </c>
      <c r="D16" s="14"/>
      <c r="E16" s="14"/>
      <c r="F16" s="14">
        <v>0.378</v>
      </c>
      <c r="G16" s="40">
        <v>80.6</v>
      </c>
      <c r="H16" s="14">
        <v>0.282</v>
      </c>
      <c r="I16" s="43">
        <v>81.5</v>
      </c>
      <c r="J16" s="14">
        <v>0.289</v>
      </c>
      <c r="K16" s="40">
        <f t="shared" si="0"/>
        <v>76.45502645502646</v>
      </c>
      <c r="L16" s="14">
        <v>0.198</v>
      </c>
      <c r="M16" s="40">
        <f t="shared" si="1"/>
        <v>70.21276595744682</v>
      </c>
      <c r="N16" s="44">
        <v>0.24</v>
      </c>
      <c r="O16" s="43">
        <f t="shared" si="2"/>
        <v>83.04498269896195</v>
      </c>
      <c r="P16" s="44">
        <v>0.196</v>
      </c>
      <c r="Q16" s="43">
        <f t="shared" si="3"/>
        <v>98.98989898989899</v>
      </c>
    </row>
    <row r="17" spans="1:17" ht="40.5" customHeight="1">
      <c r="A17" s="16" t="s">
        <v>120</v>
      </c>
      <c r="B17" s="17" t="s">
        <v>203</v>
      </c>
      <c r="C17" s="20" t="s">
        <v>7</v>
      </c>
      <c r="D17" s="14"/>
      <c r="E17" s="14" t="s">
        <v>93</v>
      </c>
      <c r="F17" s="14">
        <v>1.56</v>
      </c>
      <c r="G17" s="40"/>
      <c r="H17" s="14">
        <v>1.16</v>
      </c>
      <c r="I17" s="43"/>
      <c r="J17" s="14">
        <v>1.18</v>
      </c>
      <c r="K17" s="40"/>
      <c r="L17" s="14">
        <v>0.8</v>
      </c>
      <c r="M17" s="40"/>
      <c r="N17" s="44">
        <v>0.98</v>
      </c>
      <c r="O17" s="43"/>
      <c r="P17" s="44">
        <v>0.8</v>
      </c>
      <c r="Q17" s="43"/>
    </row>
    <row r="18" spans="1:17" ht="20.25" customHeight="1">
      <c r="A18" s="16" t="s">
        <v>208</v>
      </c>
      <c r="B18" s="17" t="s">
        <v>205</v>
      </c>
      <c r="C18" s="20" t="s">
        <v>53</v>
      </c>
      <c r="D18" s="14"/>
      <c r="E18" s="14"/>
      <c r="F18" s="45">
        <f aca="true" t="shared" si="4" ref="F18:P18">SUM(F19:F20)</f>
        <v>169</v>
      </c>
      <c r="G18" s="40">
        <v>119</v>
      </c>
      <c r="H18" s="45">
        <f t="shared" si="4"/>
        <v>440</v>
      </c>
      <c r="I18" s="43">
        <v>83.3</v>
      </c>
      <c r="J18" s="45">
        <f t="shared" si="4"/>
        <v>149</v>
      </c>
      <c r="K18" s="40">
        <f t="shared" si="0"/>
        <v>88.16568047337277</v>
      </c>
      <c r="L18" s="45">
        <f t="shared" si="4"/>
        <v>410</v>
      </c>
      <c r="M18" s="40">
        <f t="shared" si="1"/>
        <v>93.18181818181817</v>
      </c>
      <c r="N18" s="45">
        <f t="shared" si="4"/>
        <v>69</v>
      </c>
      <c r="O18" s="43">
        <f t="shared" si="2"/>
        <v>46.308724832214764</v>
      </c>
      <c r="P18" s="45">
        <f t="shared" si="4"/>
        <v>415</v>
      </c>
      <c r="Q18" s="43">
        <f t="shared" si="3"/>
        <v>101.21951219512195</v>
      </c>
    </row>
    <row r="19" spans="1:17" ht="20.25" customHeight="1">
      <c r="A19" s="16" t="s">
        <v>209</v>
      </c>
      <c r="B19" s="17" t="s">
        <v>206</v>
      </c>
      <c r="C19" s="20"/>
      <c r="D19" s="14"/>
      <c r="E19" s="14"/>
      <c r="F19" s="14">
        <v>78</v>
      </c>
      <c r="G19" s="40">
        <v>83.9</v>
      </c>
      <c r="H19" s="14">
        <v>207</v>
      </c>
      <c r="I19" s="43">
        <v>84.8</v>
      </c>
      <c r="J19" s="14">
        <v>71</v>
      </c>
      <c r="K19" s="40">
        <f t="shared" si="0"/>
        <v>91.02564102564102</v>
      </c>
      <c r="L19" s="14">
        <v>198</v>
      </c>
      <c r="M19" s="40">
        <f t="shared" si="1"/>
        <v>95.65217391304348</v>
      </c>
      <c r="N19" s="44">
        <v>39</v>
      </c>
      <c r="O19" s="43">
        <f t="shared" si="2"/>
        <v>54.929577464788736</v>
      </c>
      <c r="P19" s="44">
        <v>200</v>
      </c>
      <c r="Q19" s="43">
        <f t="shared" si="3"/>
        <v>101.01010101010101</v>
      </c>
    </row>
    <row r="20" spans="1:18" ht="20.25" customHeight="1">
      <c r="A20" s="16" t="s">
        <v>210</v>
      </c>
      <c r="B20" s="17" t="s">
        <v>207</v>
      </c>
      <c r="C20" s="20"/>
      <c r="D20" s="14"/>
      <c r="E20" s="14"/>
      <c r="F20" s="14">
        <v>91</v>
      </c>
      <c r="G20" s="40">
        <v>185.7</v>
      </c>
      <c r="H20" s="14">
        <v>233</v>
      </c>
      <c r="I20" s="43">
        <v>82</v>
      </c>
      <c r="J20" s="14">
        <v>78</v>
      </c>
      <c r="K20" s="40">
        <f t="shared" si="0"/>
        <v>85.71428571428571</v>
      </c>
      <c r="L20" s="14">
        <v>212</v>
      </c>
      <c r="M20" s="40">
        <f t="shared" si="1"/>
        <v>90.98712446351931</v>
      </c>
      <c r="N20" s="44">
        <v>30</v>
      </c>
      <c r="O20" s="43">
        <f t="shared" si="2"/>
        <v>38.46153846153847</v>
      </c>
      <c r="P20" s="44">
        <v>215</v>
      </c>
      <c r="Q20" s="43">
        <f t="shared" si="3"/>
        <v>101.41509433962264</v>
      </c>
      <c r="R20"/>
    </row>
    <row r="21" spans="1:18" ht="59.25" customHeight="1">
      <c r="A21" s="13" t="s">
        <v>121</v>
      </c>
      <c r="B21" s="75" t="s">
        <v>76</v>
      </c>
      <c r="C21" s="76"/>
      <c r="D21" s="14"/>
      <c r="E21" s="14"/>
      <c r="F21" s="14"/>
      <c r="G21" s="14"/>
      <c r="H21" s="14"/>
      <c r="I21" s="14"/>
      <c r="J21" s="14"/>
      <c r="K21" s="14"/>
      <c r="L21" s="14"/>
      <c r="M21" s="41"/>
      <c r="N21" s="41"/>
      <c r="O21" s="41"/>
      <c r="P21" s="41"/>
      <c r="Q21" s="41"/>
      <c r="R21"/>
    </row>
    <row r="22" spans="1:18" ht="21" customHeight="1">
      <c r="A22" s="16"/>
      <c r="B22" s="19" t="s">
        <v>2</v>
      </c>
      <c r="C22" s="18" t="s">
        <v>3</v>
      </c>
      <c r="D22" s="14"/>
      <c r="E22" s="14" t="s">
        <v>93</v>
      </c>
      <c r="F22" s="40">
        <f>SUM(F26+F28)</f>
        <v>242</v>
      </c>
      <c r="G22" s="40">
        <v>138</v>
      </c>
      <c r="H22" s="14">
        <f>SUM(H26+H28)</f>
        <v>1299.7</v>
      </c>
      <c r="I22" s="14">
        <v>98.8</v>
      </c>
      <c r="J22" s="14">
        <f>SUM(J26+J28)</f>
        <v>209.60000000000002</v>
      </c>
      <c r="K22" s="40">
        <f>SUM(J22/F22*100)</f>
        <v>86.61157024793388</v>
      </c>
      <c r="L22" s="14">
        <f>SUM(L26+L28)</f>
        <v>1319.7</v>
      </c>
      <c r="M22" s="42">
        <f>SUM(L22/H22*100)</f>
        <v>101.53881664999615</v>
      </c>
      <c r="N22" s="41">
        <f>SUM(N26+N28)</f>
        <v>313.70000000000005</v>
      </c>
      <c r="O22" s="42">
        <f>SUM(N22/J22*100)</f>
        <v>149.66603053435114</v>
      </c>
      <c r="P22" s="42">
        <f>SUM(P26+P28)</f>
        <v>1399.2580616999999</v>
      </c>
      <c r="Q22" s="42">
        <f>SUM(P22/L22*100)</f>
        <v>106.0284959990907</v>
      </c>
      <c r="R22"/>
    </row>
    <row r="23" spans="1:18" ht="35.25" customHeight="1">
      <c r="A23" s="16" t="s">
        <v>122</v>
      </c>
      <c r="B23" s="19" t="s">
        <v>60</v>
      </c>
      <c r="C23" s="18" t="s">
        <v>61</v>
      </c>
      <c r="D23" s="14"/>
      <c r="E23" s="14"/>
      <c r="F23" s="14">
        <v>121.9</v>
      </c>
      <c r="G23" s="14"/>
      <c r="H23" s="14">
        <v>86.9</v>
      </c>
      <c r="I23" s="14"/>
      <c r="J23" s="40">
        <f>SUM(J22/F22/1.104*100)</f>
        <v>78.45250928254882</v>
      </c>
      <c r="K23" s="40"/>
      <c r="L23" s="14">
        <v>97.4</v>
      </c>
      <c r="M23" s="42"/>
      <c r="N23" s="42">
        <f>SUM(N22/J22/1.076*100)</f>
        <v>139.09482391668323</v>
      </c>
      <c r="O23" s="42"/>
      <c r="P23" s="42">
        <f>SUM(P22/L22/1.067*100)</f>
        <v>99.37066166737648</v>
      </c>
      <c r="Q23" s="42"/>
      <c r="R23"/>
    </row>
    <row r="24" spans="1:18" ht="18.75">
      <c r="A24" s="16" t="s">
        <v>123</v>
      </c>
      <c r="B24" s="19" t="s">
        <v>4</v>
      </c>
      <c r="C24" s="18"/>
      <c r="D24" s="14"/>
      <c r="E24" s="14" t="s">
        <v>93</v>
      </c>
      <c r="F24" s="14"/>
      <c r="G24" s="14"/>
      <c r="H24" s="14"/>
      <c r="I24" s="14"/>
      <c r="J24" s="14"/>
      <c r="K24" s="40"/>
      <c r="L24" s="14"/>
      <c r="M24" s="42"/>
      <c r="N24" s="41"/>
      <c r="O24" s="42"/>
      <c r="P24" s="41"/>
      <c r="Q24" s="42"/>
      <c r="R24"/>
    </row>
    <row r="25" spans="1:17" ht="43.5" customHeight="1">
      <c r="A25" s="16" t="s">
        <v>124</v>
      </c>
      <c r="B25" s="19" t="s">
        <v>62</v>
      </c>
      <c r="C25" s="18" t="s">
        <v>61</v>
      </c>
      <c r="D25" s="14"/>
      <c r="E25" s="14" t="s">
        <v>93</v>
      </c>
      <c r="F25" s="14"/>
      <c r="G25" s="14"/>
      <c r="H25" s="14"/>
      <c r="I25" s="14"/>
      <c r="J25" s="14"/>
      <c r="K25" s="40"/>
      <c r="L25" s="14"/>
      <c r="M25" s="42"/>
      <c r="N25" s="41"/>
      <c r="O25" s="42"/>
      <c r="P25" s="41"/>
      <c r="Q25" s="42"/>
    </row>
    <row r="26" spans="1:17" ht="18.75">
      <c r="A26" s="16" t="s">
        <v>125</v>
      </c>
      <c r="B26" s="19" t="s">
        <v>5</v>
      </c>
      <c r="C26" s="18" t="s">
        <v>3</v>
      </c>
      <c r="D26" s="14"/>
      <c r="E26" s="14" t="s">
        <v>93</v>
      </c>
      <c r="F26" s="14">
        <v>97.3</v>
      </c>
      <c r="G26" s="14" t="s">
        <v>250</v>
      </c>
      <c r="H26" s="14">
        <v>834.4</v>
      </c>
      <c r="I26" s="14">
        <v>105.5</v>
      </c>
      <c r="J26" s="14">
        <v>70.7</v>
      </c>
      <c r="K26" s="40">
        <f>SUM(J26/F26*100)</f>
        <v>72.66187050359713</v>
      </c>
      <c r="L26" s="14">
        <v>841.9</v>
      </c>
      <c r="M26" s="42">
        <f>SUM(L26/H26*100)</f>
        <v>100.89884947267498</v>
      </c>
      <c r="N26" s="41">
        <v>161.9</v>
      </c>
      <c r="O26" s="42" t="s">
        <v>251</v>
      </c>
      <c r="P26" s="42">
        <f>SUM(L26*P27*1.033)/100</f>
        <v>879.2492096999999</v>
      </c>
      <c r="Q26" s="42">
        <f>SUM(P26/L26*100)</f>
        <v>104.43629999999999</v>
      </c>
    </row>
    <row r="27" spans="1:17" ht="39.75" customHeight="1">
      <c r="A27" s="16" t="s">
        <v>126</v>
      </c>
      <c r="B27" s="19" t="s">
        <v>62</v>
      </c>
      <c r="C27" s="18" t="s">
        <v>61</v>
      </c>
      <c r="D27" s="14"/>
      <c r="E27" s="14" t="s">
        <v>93</v>
      </c>
      <c r="F27" s="14" t="s">
        <v>252</v>
      </c>
      <c r="G27" s="14"/>
      <c r="H27" s="14">
        <v>91.9</v>
      </c>
      <c r="I27" s="14"/>
      <c r="J27" s="40">
        <f>SUM(J26/F26)/1.042*100</f>
        <v>69.73308109750204</v>
      </c>
      <c r="K27" s="40"/>
      <c r="L27" s="14">
        <v>96.8</v>
      </c>
      <c r="M27" s="42"/>
      <c r="N27" s="41" t="s">
        <v>253</v>
      </c>
      <c r="O27" s="42"/>
      <c r="P27" s="41">
        <v>101.1</v>
      </c>
      <c r="Q27" s="42"/>
    </row>
    <row r="28" spans="1:17" ht="37.5">
      <c r="A28" s="16" t="s">
        <v>127</v>
      </c>
      <c r="B28" s="19" t="s">
        <v>6</v>
      </c>
      <c r="C28" s="18" t="s">
        <v>3</v>
      </c>
      <c r="D28" s="14"/>
      <c r="E28" s="14" t="s">
        <v>93</v>
      </c>
      <c r="F28" s="14">
        <v>144.7</v>
      </c>
      <c r="G28" s="14">
        <v>93.4</v>
      </c>
      <c r="H28" s="14">
        <v>465.3</v>
      </c>
      <c r="I28" s="14">
        <v>88.8</v>
      </c>
      <c r="J28" s="14">
        <v>138.9</v>
      </c>
      <c r="K28" s="40">
        <f>SUM(J28/F28*100)</f>
        <v>95.99170697995855</v>
      </c>
      <c r="L28" s="14">
        <v>477.8</v>
      </c>
      <c r="M28" s="42">
        <f>SUM(L28/H28*100)</f>
        <v>102.68643885665163</v>
      </c>
      <c r="N28" s="41">
        <v>151.8</v>
      </c>
      <c r="O28" s="42">
        <f>SUM(N28/J28*100)</f>
        <v>109.28725701943844</v>
      </c>
      <c r="P28" s="42">
        <f>SUM(L28*0.97*1.122)</f>
        <v>520.008852</v>
      </c>
      <c r="Q28" s="42">
        <f>SUM(P28/L28*100)</f>
        <v>108.834</v>
      </c>
    </row>
    <row r="29" spans="1:17" ht="36.75" customHeight="1">
      <c r="A29" s="16" t="s">
        <v>128</v>
      </c>
      <c r="B29" s="19" t="s">
        <v>62</v>
      </c>
      <c r="C29" s="18" t="s">
        <v>61</v>
      </c>
      <c r="D29" s="14"/>
      <c r="E29" s="14" t="s">
        <v>93</v>
      </c>
      <c r="F29" s="40">
        <v>83</v>
      </c>
      <c r="G29" s="14"/>
      <c r="H29" s="14">
        <v>79.2</v>
      </c>
      <c r="I29" s="14"/>
      <c r="J29" s="40">
        <f>SUM(J28/F28)/1.045*100</f>
        <v>91.8580928037881</v>
      </c>
      <c r="K29" s="40"/>
      <c r="L29" s="14">
        <v>98.3</v>
      </c>
      <c r="M29" s="42"/>
      <c r="N29" s="42">
        <f>SUM(N28/J28/1.122*100)</f>
        <v>97.4039723880913</v>
      </c>
      <c r="O29" s="42"/>
      <c r="P29" s="42">
        <v>97</v>
      </c>
      <c r="Q29" s="42"/>
    </row>
    <row r="30" spans="1:17" ht="27" customHeight="1">
      <c r="A30" s="13" t="s">
        <v>129</v>
      </c>
      <c r="B30" s="73" t="s">
        <v>8</v>
      </c>
      <c r="C30" s="74"/>
      <c r="D30" s="14"/>
      <c r="E30" s="14"/>
      <c r="F30" s="14"/>
      <c r="G30" s="14"/>
      <c r="H30" s="14"/>
      <c r="I30" s="14"/>
      <c r="J30" s="14"/>
      <c r="K30" s="14"/>
      <c r="L30" s="14"/>
      <c r="M30" s="41"/>
      <c r="N30" s="41"/>
      <c r="O30" s="41"/>
      <c r="P30" s="41"/>
      <c r="Q30" s="41"/>
    </row>
    <row r="31" spans="1:17" ht="22.5" customHeight="1">
      <c r="A31" s="16" t="s">
        <v>130</v>
      </c>
      <c r="B31" s="19" t="s">
        <v>51</v>
      </c>
      <c r="C31" s="18" t="s">
        <v>9</v>
      </c>
      <c r="D31" s="14"/>
      <c r="E31" s="14"/>
      <c r="F31" s="14"/>
      <c r="G31" s="14"/>
      <c r="H31" s="14"/>
      <c r="I31" s="14"/>
      <c r="J31" s="14"/>
      <c r="K31" s="14"/>
      <c r="L31" s="14"/>
      <c r="M31" s="41"/>
      <c r="N31" s="41"/>
      <c r="O31" s="41"/>
      <c r="P31" s="41"/>
      <c r="Q31" s="41"/>
    </row>
    <row r="32" spans="1:17" ht="21.75" customHeight="1">
      <c r="A32" s="16" t="s">
        <v>131</v>
      </c>
      <c r="B32" s="19" t="s">
        <v>10</v>
      </c>
      <c r="C32" s="18" t="s">
        <v>11</v>
      </c>
      <c r="D32" s="14"/>
      <c r="E32" s="14"/>
      <c r="F32" s="14"/>
      <c r="G32" s="14"/>
      <c r="H32" s="14"/>
      <c r="I32" s="14"/>
      <c r="J32" s="14"/>
      <c r="K32" s="14"/>
      <c r="L32" s="14"/>
      <c r="M32" s="41"/>
      <c r="N32" s="41"/>
      <c r="O32" s="41"/>
      <c r="P32" s="41"/>
      <c r="Q32" s="41"/>
    </row>
    <row r="33" spans="1:17" ht="22.5" customHeight="1">
      <c r="A33" s="16" t="s">
        <v>132</v>
      </c>
      <c r="B33" s="19" t="s">
        <v>12</v>
      </c>
      <c r="C33" s="18" t="s">
        <v>13</v>
      </c>
      <c r="D33" s="14"/>
      <c r="E33" s="14"/>
      <c r="F33" s="14"/>
      <c r="G33" s="14"/>
      <c r="H33" s="14"/>
      <c r="I33" s="14"/>
      <c r="J33" s="14"/>
      <c r="K33" s="14"/>
      <c r="L33" s="14"/>
      <c r="M33" s="41"/>
      <c r="N33" s="41"/>
      <c r="O33" s="41"/>
      <c r="P33" s="41"/>
      <c r="Q33" s="41"/>
    </row>
    <row r="34" spans="1:17" ht="21" customHeight="1">
      <c r="A34" s="16" t="s">
        <v>133</v>
      </c>
      <c r="B34" s="19" t="s">
        <v>50</v>
      </c>
      <c r="C34" s="18" t="s">
        <v>14</v>
      </c>
      <c r="D34" s="14"/>
      <c r="E34" s="14"/>
      <c r="F34" s="14"/>
      <c r="G34" s="14"/>
      <c r="H34" s="14"/>
      <c r="I34" s="14"/>
      <c r="J34" s="14"/>
      <c r="K34" s="14"/>
      <c r="L34" s="14"/>
      <c r="M34" s="41"/>
      <c r="N34" s="41"/>
      <c r="O34" s="41"/>
      <c r="P34" s="41"/>
      <c r="Q34" s="41"/>
    </row>
    <row r="35" spans="1:17" ht="21" customHeight="1">
      <c r="A35" s="16" t="s">
        <v>134</v>
      </c>
      <c r="B35" s="19" t="s">
        <v>235</v>
      </c>
      <c r="C35" s="18" t="s">
        <v>14</v>
      </c>
      <c r="D35" s="14"/>
      <c r="E35" s="14"/>
      <c r="F35" s="14"/>
      <c r="G35" s="14"/>
      <c r="H35" s="14"/>
      <c r="I35" s="14"/>
      <c r="J35" s="14"/>
      <c r="K35" s="14"/>
      <c r="L35" s="14"/>
      <c r="M35" s="41"/>
      <c r="N35" s="41"/>
      <c r="O35" s="41"/>
      <c r="P35" s="41"/>
      <c r="Q35" s="41"/>
    </row>
    <row r="36" spans="1:17" ht="21.75" customHeight="1">
      <c r="A36" s="16" t="s">
        <v>135</v>
      </c>
      <c r="B36" s="19" t="s">
        <v>109</v>
      </c>
      <c r="C36" s="18" t="s">
        <v>14</v>
      </c>
      <c r="D36" s="14"/>
      <c r="E36" s="14"/>
      <c r="F36" s="14"/>
      <c r="G36" s="14"/>
      <c r="H36" s="14"/>
      <c r="I36" s="14"/>
      <c r="J36" s="14"/>
      <c r="K36" s="14"/>
      <c r="L36" s="14"/>
      <c r="M36" s="41"/>
      <c r="N36" s="41"/>
      <c r="O36" s="41"/>
      <c r="P36" s="41"/>
      <c r="Q36" s="41"/>
    </row>
    <row r="37" spans="1:17" ht="21" customHeight="1">
      <c r="A37" s="16" t="s">
        <v>136</v>
      </c>
      <c r="B37" s="19" t="s">
        <v>15</v>
      </c>
      <c r="C37" s="18" t="s">
        <v>14</v>
      </c>
      <c r="D37" s="14"/>
      <c r="E37" s="14"/>
      <c r="F37" s="14"/>
      <c r="G37" s="14"/>
      <c r="H37" s="14"/>
      <c r="I37" s="14"/>
      <c r="J37" s="14"/>
      <c r="K37" s="14"/>
      <c r="L37" s="14"/>
      <c r="M37" s="41"/>
      <c r="N37" s="41"/>
      <c r="O37" s="41"/>
      <c r="P37" s="41"/>
      <c r="Q37" s="41"/>
    </row>
    <row r="38" spans="1:17" ht="21" customHeight="1">
      <c r="A38" s="16" t="s">
        <v>211</v>
      </c>
      <c r="B38" s="19" t="s">
        <v>219</v>
      </c>
      <c r="C38" s="18" t="s">
        <v>32</v>
      </c>
      <c r="D38" s="14"/>
      <c r="E38" s="14"/>
      <c r="F38" s="14"/>
      <c r="G38" s="14"/>
      <c r="H38" s="14"/>
      <c r="I38" s="14"/>
      <c r="J38" s="14"/>
      <c r="K38" s="14"/>
      <c r="L38" s="14"/>
      <c r="M38" s="41"/>
      <c r="N38" s="41"/>
      <c r="O38" s="41"/>
      <c r="P38" s="41"/>
      <c r="Q38" s="41"/>
    </row>
    <row r="39" spans="1:17" ht="21" customHeight="1">
      <c r="A39" s="16" t="s">
        <v>212</v>
      </c>
      <c r="B39" s="19" t="s">
        <v>218</v>
      </c>
      <c r="C39" s="18" t="s">
        <v>32</v>
      </c>
      <c r="D39" s="14"/>
      <c r="E39" s="14"/>
      <c r="F39" s="14"/>
      <c r="G39" s="14"/>
      <c r="H39" s="14"/>
      <c r="I39" s="14"/>
      <c r="J39" s="14"/>
      <c r="K39" s="14"/>
      <c r="L39" s="14"/>
      <c r="M39" s="41"/>
      <c r="N39" s="41"/>
      <c r="O39" s="41"/>
      <c r="P39" s="41"/>
      <c r="Q39" s="41"/>
    </row>
    <row r="40" spans="1:17" ht="21" customHeight="1">
      <c r="A40" s="16" t="s">
        <v>213</v>
      </c>
      <c r="B40" s="19" t="s">
        <v>220</v>
      </c>
      <c r="C40" s="18" t="s">
        <v>233</v>
      </c>
      <c r="D40" s="14"/>
      <c r="E40" s="14"/>
      <c r="F40" s="14"/>
      <c r="G40" s="14"/>
      <c r="H40" s="14"/>
      <c r="I40" s="14"/>
      <c r="J40" s="14"/>
      <c r="K40" s="14"/>
      <c r="L40" s="14"/>
      <c r="M40" s="41"/>
      <c r="N40" s="41"/>
      <c r="O40" s="41"/>
      <c r="P40" s="41"/>
      <c r="Q40" s="41"/>
    </row>
    <row r="41" spans="1:17" ht="21" customHeight="1">
      <c r="A41" s="16" t="s">
        <v>214</v>
      </c>
      <c r="B41" s="19" t="s">
        <v>222</v>
      </c>
      <c r="C41" s="18" t="s">
        <v>232</v>
      </c>
      <c r="D41" s="14"/>
      <c r="E41" s="14"/>
      <c r="F41" s="14"/>
      <c r="G41" s="14"/>
      <c r="H41" s="14"/>
      <c r="I41" s="14"/>
      <c r="J41" s="14"/>
      <c r="K41" s="14"/>
      <c r="L41" s="14"/>
      <c r="M41" s="41"/>
      <c r="N41" s="41"/>
      <c r="O41" s="41"/>
      <c r="P41" s="41"/>
      <c r="Q41" s="41"/>
    </row>
    <row r="42" spans="1:17" ht="21" customHeight="1">
      <c r="A42" s="16" t="s">
        <v>215</v>
      </c>
      <c r="B42" s="19" t="s">
        <v>221</v>
      </c>
      <c r="C42" s="18" t="s">
        <v>234</v>
      </c>
      <c r="D42" s="14"/>
      <c r="E42" s="14"/>
      <c r="F42" s="14"/>
      <c r="G42" s="14"/>
      <c r="H42" s="14"/>
      <c r="I42" s="14"/>
      <c r="J42" s="14"/>
      <c r="K42" s="14"/>
      <c r="L42" s="14"/>
      <c r="M42" s="41"/>
      <c r="N42" s="41"/>
      <c r="O42" s="41"/>
      <c r="P42" s="41"/>
      <c r="Q42" s="41"/>
    </row>
    <row r="43" spans="1:17" ht="21" customHeight="1">
      <c r="A43" s="16" t="s">
        <v>216</v>
      </c>
      <c r="B43" s="19" t="s">
        <v>223</v>
      </c>
      <c r="C43" s="18" t="s">
        <v>234</v>
      </c>
      <c r="D43" s="14"/>
      <c r="E43" s="14"/>
      <c r="F43" s="14"/>
      <c r="G43" s="14"/>
      <c r="H43" s="14"/>
      <c r="I43" s="14"/>
      <c r="J43" s="14"/>
      <c r="K43" s="14"/>
      <c r="L43" s="14"/>
      <c r="M43" s="41"/>
      <c r="N43" s="41"/>
      <c r="O43" s="41"/>
      <c r="P43" s="41"/>
      <c r="Q43" s="41"/>
    </row>
    <row r="44" spans="1:17" ht="21" customHeight="1">
      <c r="A44" s="16" t="s">
        <v>217</v>
      </c>
      <c r="B44" s="19" t="s">
        <v>224</v>
      </c>
      <c r="C44" s="18" t="s">
        <v>234</v>
      </c>
      <c r="D44" s="14"/>
      <c r="E44" s="14"/>
      <c r="F44" s="14"/>
      <c r="G44" s="14"/>
      <c r="H44" s="14"/>
      <c r="I44" s="14"/>
      <c r="J44" s="14"/>
      <c r="K44" s="14"/>
      <c r="L44" s="14"/>
      <c r="M44" s="41"/>
      <c r="N44" s="41"/>
      <c r="O44" s="41"/>
      <c r="P44" s="41"/>
      <c r="Q44" s="41"/>
    </row>
    <row r="45" spans="1:17" ht="36" customHeight="1">
      <c r="A45" s="16" t="s">
        <v>236</v>
      </c>
      <c r="B45" s="19" t="s">
        <v>225</v>
      </c>
      <c r="C45" s="18" t="s">
        <v>32</v>
      </c>
      <c r="D45" s="14"/>
      <c r="E45" s="14"/>
      <c r="F45" s="14"/>
      <c r="G45" s="14"/>
      <c r="H45" s="14"/>
      <c r="I45" s="14"/>
      <c r="J45" s="14"/>
      <c r="K45" s="14"/>
      <c r="L45" s="14"/>
      <c r="M45" s="41"/>
      <c r="N45" s="41"/>
      <c r="O45" s="41"/>
      <c r="P45" s="41"/>
      <c r="Q45" s="41"/>
    </row>
    <row r="46" spans="1:17" ht="24.75" customHeight="1">
      <c r="A46" s="13" t="s">
        <v>137</v>
      </c>
      <c r="B46" s="81" t="s">
        <v>77</v>
      </c>
      <c r="C46" s="74"/>
      <c r="D46" s="14"/>
      <c r="E46" s="14"/>
      <c r="F46" s="14"/>
      <c r="G46" s="14"/>
      <c r="H46" s="14"/>
      <c r="I46" s="14"/>
      <c r="J46" s="14"/>
      <c r="K46" s="14"/>
      <c r="L46" s="14"/>
      <c r="M46" s="41"/>
      <c r="N46" s="41"/>
      <c r="O46" s="41"/>
      <c r="P46" s="41"/>
      <c r="Q46" s="41"/>
    </row>
    <row r="47" spans="1:17" ht="28.5" customHeight="1">
      <c r="A47" s="16"/>
      <c r="B47" s="19" t="s">
        <v>2</v>
      </c>
      <c r="C47" s="18" t="s">
        <v>16</v>
      </c>
      <c r="D47" s="14"/>
      <c r="E47" s="14" t="s">
        <v>93</v>
      </c>
      <c r="F47" s="14">
        <v>149.3</v>
      </c>
      <c r="G47" s="14">
        <v>106.5</v>
      </c>
      <c r="H47" s="14">
        <v>1399.8</v>
      </c>
      <c r="I47" s="14">
        <v>108.7</v>
      </c>
      <c r="J47" s="14">
        <v>112</v>
      </c>
      <c r="K47" s="40">
        <v>75</v>
      </c>
      <c r="L47" s="14">
        <v>1443.2</v>
      </c>
      <c r="M47" s="67">
        <f>SUM(L47/H47*100)</f>
        <v>103.10044292041721</v>
      </c>
      <c r="N47" s="15">
        <v>103.2</v>
      </c>
      <c r="O47" s="67">
        <f>SUM(N47/J47*100)</f>
        <v>92.14285714285715</v>
      </c>
      <c r="P47" s="15">
        <v>1543.9</v>
      </c>
      <c r="Q47" s="67">
        <f>SUM(P47/L47*100)</f>
        <v>106.97754988913526</v>
      </c>
    </row>
    <row r="48" spans="1:17" ht="73.5" customHeight="1">
      <c r="A48" s="16" t="s">
        <v>138</v>
      </c>
      <c r="B48" s="21" t="s">
        <v>59</v>
      </c>
      <c r="C48" s="22" t="s">
        <v>63</v>
      </c>
      <c r="D48" s="14"/>
      <c r="E48" s="14" t="s">
        <v>93</v>
      </c>
      <c r="F48" s="14">
        <v>100.6</v>
      </c>
      <c r="G48" s="14"/>
      <c r="H48" s="14">
        <v>100</v>
      </c>
      <c r="I48" s="14"/>
      <c r="J48" s="14">
        <v>72.8</v>
      </c>
      <c r="K48" s="14"/>
      <c r="L48" s="40">
        <f>SUM(L47/H47/1.0332*100)</f>
        <v>99.78749798724081</v>
      </c>
      <c r="M48" s="15"/>
      <c r="N48" s="67">
        <f>SUM(N47/J47/1.059*100)</f>
        <v>87.00930797248078</v>
      </c>
      <c r="O48" s="15"/>
      <c r="P48" s="15">
        <v>99.7</v>
      </c>
      <c r="Q48" s="15"/>
    </row>
    <row r="49" spans="1:17" ht="39.75" customHeight="1">
      <c r="A49" s="13" t="s">
        <v>139</v>
      </c>
      <c r="B49" s="73" t="s">
        <v>78</v>
      </c>
      <c r="C49" s="74"/>
      <c r="D49" s="14"/>
      <c r="E49" s="14"/>
      <c r="F49" s="14"/>
      <c r="G49" s="14"/>
      <c r="H49" s="14"/>
      <c r="I49" s="14"/>
      <c r="J49" s="14"/>
      <c r="K49" s="40"/>
      <c r="L49" s="14"/>
      <c r="M49" s="43"/>
      <c r="N49" s="44"/>
      <c r="O49" s="44"/>
      <c r="P49" s="44"/>
      <c r="Q49" s="43"/>
    </row>
    <row r="50" spans="1:17" ht="18.75">
      <c r="A50" s="16"/>
      <c r="B50" s="19" t="s">
        <v>2</v>
      </c>
      <c r="C50" s="18" t="s">
        <v>17</v>
      </c>
      <c r="D50" s="14"/>
      <c r="E50" s="14" t="s">
        <v>93</v>
      </c>
      <c r="F50" s="14">
        <v>567.8</v>
      </c>
      <c r="G50" s="14">
        <v>126.3</v>
      </c>
      <c r="H50" s="14">
        <v>3862.2</v>
      </c>
      <c r="I50" s="14" t="s">
        <v>251</v>
      </c>
      <c r="J50" s="14">
        <v>264.2</v>
      </c>
      <c r="K50" s="40">
        <f>SUM(J50/F50*100)</f>
        <v>46.53046847481508</v>
      </c>
      <c r="L50" s="14">
        <v>3471.7</v>
      </c>
      <c r="M50" s="67">
        <f>SUM(L50/H50*100)</f>
        <v>89.88918233131375</v>
      </c>
      <c r="N50" s="15">
        <v>947.7</v>
      </c>
      <c r="O50" s="15" t="s">
        <v>260</v>
      </c>
      <c r="P50" s="15">
        <v>3746</v>
      </c>
      <c r="Q50" s="67">
        <f>SUM(P50/L50*100)</f>
        <v>107.90102831465853</v>
      </c>
    </row>
    <row r="51" spans="1:17" ht="73.5" customHeight="1">
      <c r="A51" s="16" t="s">
        <v>140</v>
      </c>
      <c r="B51" s="21" t="s">
        <v>59</v>
      </c>
      <c r="C51" s="22" t="s">
        <v>63</v>
      </c>
      <c r="D51" s="14"/>
      <c r="E51" s="14" t="s">
        <v>93</v>
      </c>
      <c r="F51" s="14">
        <v>119.4</v>
      </c>
      <c r="G51" s="14"/>
      <c r="H51" s="14" t="s">
        <v>261</v>
      </c>
      <c r="I51" s="14"/>
      <c r="J51" s="14">
        <v>43.7</v>
      </c>
      <c r="K51" s="14"/>
      <c r="L51" s="14">
        <v>83.5</v>
      </c>
      <c r="M51" s="15"/>
      <c r="N51" s="15" t="s">
        <v>262</v>
      </c>
      <c r="O51" s="15"/>
      <c r="P51" s="67">
        <f>SUM(P50/L50/1.079*100)</f>
        <v>100.00095302563349</v>
      </c>
      <c r="Q51" s="15"/>
    </row>
    <row r="52" spans="1:17" ht="24" customHeight="1">
      <c r="A52" s="13" t="s">
        <v>141</v>
      </c>
      <c r="B52" s="81" t="s">
        <v>79</v>
      </c>
      <c r="C52" s="74"/>
      <c r="D52" s="14"/>
      <c r="E52" s="14"/>
      <c r="F52" s="14"/>
      <c r="G52" s="14"/>
      <c r="H52" s="14"/>
      <c r="I52" s="14"/>
      <c r="J52" s="14"/>
      <c r="K52" s="14"/>
      <c r="L52" s="14"/>
      <c r="M52" s="41"/>
      <c r="N52" s="41"/>
      <c r="O52" s="41"/>
      <c r="P52" s="41"/>
      <c r="Q52" s="41"/>
    </row>
    <row r="53" spans="1:17" ht="18.75">
      <c r="A53" s="16"/>
      <c r="B53" s="19" t="s">
        <v>2</v>
      </c>
      <c r="C53" s="18" t="s">
        <v>17</v>
      </c>
      <c r="D53" s="14"/>
      <c r="E53" s="14" t="s">
        <v>93</v>
      </c>
      <c r="F53" s="46">
        <v>880.9</v>
      </c>
      <c r="G53" s="47" t="s">
        <v>93</v>
      </c>
      <c r="H53" s="46">
        <v>4149.4</v>
      </c>
      <c r="I53" s="48" t="s">
        <v>93</v>
      </c>
      <c r="J53" s="46">
        <v>933.8</v>
      </c>
      <c r="K53" s="49" t="s">
        <v>93</v>
      </c>
      <c r="L53" s="50">
        <v>4504</v>
      </c>
      <c r="M53" s="48" t="s">
        <v>93</v>
      </c>
      <c r="N53" s="51">
        <v>1026.6</v>
      </c>
      <c r="O53" s="52" t="s">
        <v>93</v>
      </c>
      <c r="P53" s="51">
        <v>4990.6</v>
      </c>
      <c r="Q53" s="51" t="s">
        <v>93</v>
      </c>
    </row>
    <row r="54" spans="1:17" ht="75" customHeight="1">
      <c r="A54" s="16" t="s">
        <v>142</v>
      </c>
      <c r="B54" s="21" t="s">
        <v>59</v>
      </c>
      <c r="C54" s="22" t="s">
        <v>63</v>
      </c>
      <c r="D54" s="14"/>
      <c r="E54" s="14" t="s">
        <v>93</v>
      </c>
      <c r="F54" s="46">
        <v>96.6</v>
      </c>
      <c r="G54" s="46" t="s">
        <v>93</v>
      </c>
      <c r="H54" s="46">
        <v>100.8</v>
      </c>
      <c r="I54" s="46" t="s">
        <v>93</v>
      </c>
      <c r="J54" s="46">
        <v>102.1</v>
      </c>
      <c r="K54" s="46" t="s">
        <v>93</v>
      </c>
      <c r="L54" s="51">
        <v>105.9</v>
      </c>
      <c r="M54" s="51" t="s">
        <v>93</v>
      </c>
      <c r="N54" s="52">
        <f>N53/1.0643/J53*100</f>
        <v>103.29595809335504</v>
      </c>
      <c r="O54" s="51" t="s">
        <v>93</v>
      </c>
      <c r="P54" s="52">
        <f>P53/1.057/L53*100</f>
        <v>104.82850522021003</v>
      </c>
      <c r="Q54" s="51" t="s">
        <v>93</v>
      </c>
    </row>
    <row r="55" spans="1:17" ht="24" customHeight="1">
      <c r="A55" s="13" t="s">
        <v>143</v>
      </c>
      <c r="B55" s="81" t="s">
        <v>80</v>
      </c>
      <c r="C55" s="74"/>
      <c r="D55" s="14"/>
      <c r="E55" s="14"/>
      <c r="F55" s="46"/>
      <c r="G55" s="46"/>
      <c r="H55" s="46"/>
      <c r="I55" s="46"/>
      <c r="J55" s="46"/>
      <c r="K55" s="46"/>
      <c r="L55" s="46"/>
      <c r="M55" s="66"/>
      <c r="N55" s="66"/>
      <c r="O55" s="66"/>
      <c r="P55" s="66"/>
      <c r="Q55" s="51"/>
    </row>
    <row r="56" spans="1:17" ht="21" customHeight="1">
      <c r="A56" s="16"/>
      <c r="B56" s="19" t="s">
        <v>2</v>
      </c>
      <c r="C56" s="18" t="s">
        <v>17</v>
      </c>
      <c r="D56" s="14"/>
      <c r="E56" s="14" t="s">
        <v>93</v>
      </c>
      <c r="F56" s="46">
        <v>437.7</v>
      </c>
      <c r="G56" s="53" t="s">
        <v>93</v>
      </c>
      <c r="H56" s="46">
        <v>1832.1</v>
      </c>
      <c r="I56" s="48" t="s">
        <v>93</v>
      </c>
      <c r="J56" s="46">
        <v>460.8</v>
      </c>
      <c r="K56" s="46" t="s">
        <v>93</v>
      </c>
      <c r="L56" s="46">
        <v>1924.3</v>
      </c>
      <c r="M56" s="52" t="s">
        <v>93</v>
      </c>
      <c r="N56" s="51">
        <v>485.2</v>
      </c>
      <c r="O56" s="52" t="s">
        <v>93</v>
      </c>
      <c r="P56" s="51">
        <v>2074.6</v>
      </c>
      <c r="Q56" s="52" t="s">
        <v>93</v>
      </c>
    </row>
    <row r="57" spans="1:17" ht="72" customHeight="1">
      <c r="A57" s="16" t="s">
        <v>144</v>
      </c>
      <c r="B57" s="21" t="s">
        <v>59</v>
      </c>
      <c r="C57" s="22" t="s">
        <v>63</v>
      </c>
      <c r="D57" s="14"/>
      <c r="E57" s="14" t="s">
        <v>93</v>
      </c>
      <c r="F57" s="46">
        <v>102.9</v>
      </c>
      <c r="G57" s="54" t="s">
        <v>93</v>
      </c>
      <c r="H57" s="46">
        <v>101.8</v>
      </c>
      <c r="I57" s="46" t="s">
        <v>93</v>
      </c>
      <c r="J57" s="46">
        <v>103.5</v>
      </c>
      <c r="K57" s="46" t="s">
        <v>93</v>
      </c>
      <c r="L57" s="46">
        <v>102.8</v>
      </c>
      <c r="M57" s="51" t="s">
        <v>93</v>
      </c>
      <c r="N57" s="52">
        <f>N56/1.0463/J56*100</f>
        <v>100.63570571431606</v>
      </c>
      <c r="O57" s="51" t="s">
        <v>93</v>
      </c>
      <c r="P57" s="52">
        <f>P56/1.057/L56*100</f>
        <v>101.99681403762494</v>
      </c>
      <c r="Q57" s="51" t="s">
        <v>93</v>
      </c>
    </row>
    <row r="58" spans="1:17" ht="40.5" customHeight="1">
      <c r="A58" s="13" t="s">
        <v>145</v>
      </c>
      <c r="B58" s="82" t="s">
        <v>18</v>
      </c>
      <c r="C58" s="83"/>
      <c r="D58" s="14"/>
      <c r="E58" s="14"/>
      <c r="F58" s="14"/>
      <c r="G58" s="14"/>
      <c r="H58" s="14"/>
      <c r="I58" s="14"/>
      <c r="J58" s="14"/>
      <c r="K58" s="14"/>
      <c r="L58" s="14"/>
      <c r="M58" s="41"/>
      <c r="N58" s="41"/>
      <c r="O58" s="41"/>
      <c r="P58" s="41"/>
      <c r="Q58" s="41"/>
    </row>
    <row r="59" spans="1:17" ht="27" customHeight="1">
      <c r="A59" s="16"/>
      <c r="B59" s="19" t="s">
        <v>2</v>
      </c>
      <c r="C59" s="18" t="s">
        <v>3</v>
      </c>
      <c r="D59" s="14"/>
      <c r="E59" s="14" t="s">
        <v>93</v>
      </c>
      <c r="F59" s="14">
        <v>16.1</v>
      </c>
      <c r="G59" s="14">
        <v>88.5</v>
      </c>
      <c r="H59" s="14">
        <v>96.6</v>
      </c>
      <c r="I59" s="14">
        <v>118.5</v>
      </c>
      <c r="J59" s="14">
        <v>26.4</v>
      </c>
      <c r="K59" s="40">
        <f>SUM(J59/F59*100)</f>
        <v>163.97515527950307</v>
      </c>
      <c r="L59" s="14">
        <v>131.9</v>
      </c>
      <c r="M59" s="41">
        <v>136.5</v>
      </c>
      <c r="N59" s="41">
        <v>30.6</v>
      </c>
      <c r="O59" s="42">
        <f>SUM(N59/J59*100)</f>
        <v>115.90909090909092</v>
      </c>
      <c r="P59" s="42">
        <f>SUM(L59*1.03*1.041)</f>
        <v>141.427137</v>
      </c>
      <c r="Q59" s="42">
        <f>SUM(P59/L59*100)</f>
        <v>107.22299999999998</v>
      </c>
    </row>
    <row r="60" spans="1:17" ht="70.5" customHeight="1">
      <c r="A60" s="16" t="s">
        <v>146</v>
      </c>
      <c r="B60" s="19" t="s">
        <v>92</v>
      </c>
      <c r="C60" s="18" t="s">
        <v>61</v>
      </c>
      <c r="D60" s="14"/>
      <c r="E60" s="14" t="s">
        <v>93</v>
      </c>
      <c r="F60" s="14">
        <v>80.1</v>
      </c>
      <c r="G60" s="14"/>
      <c r="H60" s="14">
        <v>108.4</v>
      </c>
      <c r="I60" s="14"/>
      <c r="J60" s="14">
        <v>156.4</v>
      </c>
      <c r="K60" s="14"/>
      <c r="L60" s="14">
        <v>131.1</v>
      </c>
      <c r="M60" s="41"/>
      <c r="N60" s="42">
        <f>SUM(N59/J59/1.041)*100</f>
        <v>111.34398742467909</v>
      </c>
      <c r="O60" s="41"/>
      <c r="P60" s="42">
        <v>103</v>
      </c>
      <c r="Q60" s="42"/>
    </row>
    <row r="61" spans="1:17" ht="21" customHeight="1">
      <c r="A61" s="16" t="s">
        <v>147</v>
      </c>
      <c r="B61" s="19" t="s">
        <v>19</v>
      </c>
      <c r="C61" s="18" t="s">
        <v>20</v>
      </c>
      <c r="D61" s="14"/>
      <c r="E61" s="14"/>
      <c r="F61" s="14">
        <v>0.0875</v>
      </c>
      <c r="G61" s="14">
        <v>85.8</v>
      </c>
      <c r="H61" s="14">
        <v>0.667</v>
      </c>
      <c r="I61" s="14">
        <v>149.6</v>
      </c>
      <c r="J61" s="14">
        <v>0.257</v>
      </c>
      <c r="K61" s="14" t="s">
        <v>247</v>
      </c>
      <c r="L61" s="14">
        <v>1.297</v>
      </c>
      <c r="M61" s="41">
        <v>194.5</v>
      </c>
      <c r="N61" s="41">
        <v>0.333</v>
      </c>
      <c r="O61" s="42">
        <f>SUM(N61/J61*100)</f>
        <v>129.57198443579767</v>
      </c>
      <c r="P61" s="41">
        <v>1.309</v>
      </c>
      <c r="Q61" s="42">
        <f>SUM(P61/L61*100)</f>
        <v>100.92521202775637</v>
      </c>
    </row>
    <row r="62" spans="1:17" ht="21" customHeight="1">
      <c r="A62" s="16" t="s">
        <v>148</v>
      </c>
      <c r="B62" s="19" t="s">
        <v>21</v>
      </c>
      <c r="C62" s="18" t="s">
        <v>20</v>
      </c>
      <c r="D62" s="14"/>
      <c r="E62" s="14"/>
      <c r="F62" s="14">
        <v>0.201</v>
      </c>
      <c r="G62" s="14">
        <v>105.2</v>
      </c>
      <c r="H62" s="14">
        <v>0.821</v>
      </c>
      <c r="I62" s="14">
        <v>103.3</v>
      </c>
      <c r="J62" s="14">
        <v>0.203</v>
      </c>
      <c r="K62" s="14">
        <v>100.9</v>
      </c>
      <c r="L62" s="14">
        <v>0.937</v>
      </c>
      <c r="M62" s="41">
        <v>114.1</v>
      </c>
      <c r="N62" s="41">
        <v>0.293</v>
      </c>
      <c r="O62" s="42">
        <f>SUM(N62/J62*100)</f>
        <v>144.3349753694581</v>
      </c>
      <c r="P62" s="41">
        <v>0.965</v>
      </c>
      <c r="Q62" s="42">
        <f>SUM(P62/L62*100)</f>
        <v>102.98826040554962</v>
      </c>
    </row>
    <row r="63" spans="1:17" ht="22.5" customHeight="1">
      <c r="A63" s="16" t="s">
        <v>149</v>
      </c>
      <c r="B63" s="19" t="s">
        <v>22</v>
      </c>
      <c r="C63" s="18" t="s">
        <v>23</v>
      </c>
      <c r="D63" s="14"/>
      <c r="E63" s="14"/>
      <c r="F63" s="14"/>
      <c r="G63" s="14"/>
      <c r="H63" s="14"/>
      <c r="I63" s="14"/>
      <c r="J63" s="14"/>
      <c r="K63" s="14"/>
      <c r="L63" s="14"/>
      <c r="M63" s="41"/>
      <c r="N63" s="41"/>
      <c r="O63" s="42"/>
      <c r="P63" s="41"/>
      <c r="Q63" s="42"/>
    </row>
    <row r="64" spans="1:17" ht="18.75" customHeight="1">
      <c r="A64" s="16" t="s">
        <v>150</v>
      </c>
      <c r="B64" s="19" t="s">
        <v>24</v>
      </c>
      <c r="C64" s="18" t="s">
        <v>20</v>
      </c>
      <c r="D64" s="14"/>
      <c r="E64" s="14"/>
      <c r="F64" s="14"/>
      <c r="G64" s="14"/>
      <c r="H64" s="14"/>
      <c r="I64" s="14"/>
      <c r="J64" s="14"/>
      <c r="K64" s="14"/>
      <c r="L64" s="14"/>
      <c r="M64" s="41"/>
      <c r="N64" s="41"/>
      <c r="O64" s="42"/>
      <c r="P64" s="41"/>
      <c r="Q64" s="42"/>
    </row>
    <row r="65" spans="1:17" ht="18.75" customHeight="1">
      <c r="A65" s="16" t="s">
        <v>151</v>
      </c>
      <c r="B65" s="19" t="s">
        <v>25</v>
      </c>
      <c r="C65" s="18" t="s">
        <v>20</v>
      </c>
      <c r="D65" s="14"/>
      <c r="E65" s="14"/>
      <c r="F65" s="14">
        <v>0.0041</v>
      </c>
      <c r="G65" s="14">
        <v>157.7</v>
      </c>
      <c r="H65" s="14">
        <v>0.0557</v>
      </c>
      <c r="I65" s="14">
        <v>164.8</v>
      </c>
      <c r="J65" s="14">
        <v>0.0037</v>
      </c>
      <c r="K65" s="14">
        <v>73.1</v>
      </c>
      <c r="L65" s="14">
        <v>0.0397</v>
      </c>
      <c r="M65" s="41">
        <v>71.3</v>
      </c>
      <c r="N65" s="41">
        <v>0.003</v>
      </c>
      <c r="O65" s="42">
        <f>SUM(N65/J65*100)</f>
        <v>81.08108108108108</v>
      </c>
      <c r="P65" s="41">
        <v>0.04</v>
      </c>
      <c r="Q65" s="42">
        <f>SUM(P65/L65*100)</f>
        <v>100.75566750629723</v>
      </c>
    </row>
    <row r="66" spans="1:17" ht="24" customHeight="1">
      <c r="A66" s="16" t="s">
        <v>152</v>
      </c>
      <c r="B66" s="19" t="s">
        <v>26</v>
      </c>
      <c r="C66" s="18" t="s">
        <v>27</v>
      </c>
      <c r="D66" s="14"/>
      <c r="E66" s="14"/>
      <c r="F66" s="14">
        <v>2.632</v>
      </c>
      <c r="G66" s="14">
        <v>129</v>
      </c>
      <c r="H66" s="14">
        <v>4.374</v>
      </c>
      <c r="I66" s="14" t="s">
        <v>248</v>
      </c>
      <c r="J66" s="14">
        <v>5.51</v>
      </c>
      <c r="K66" s="14">
        <v>191.9</v>
      </c>
      <c r="L66" s="14">
        <v>7.565</v>
      </c>
      <c r="M66" s="42">
        <v>173</v>
      </c>
      <c r="N66" s="41">
        <v>8.022</v>
      </c>
      <c r="O66" s="42">
        <f>SUM(N66/J66*100)</f>
        <v>145.58983666061707</v>
      </c>
      <c r="P66" s="42">
        <v>8</v>
      </c>
      <c r="Q66" s="42">
        <f>SUM(P66/L66*100)</f>
        <v>105.75016523463316</v>
      </c>
    </row>
    <row r="67" spans="1:17" ht="24" customHeight="1">
      <c r="A67" s="13" t="s">
        <v>153</v>
      </c>
      <c r="B67" s="73" t="s">
        <v>71</v>
      </c>
      <c r="C67" s="74"/>
      <c r="D67" s="14"/>
      <c r="E67" s="14"/>
      <c r="F67" s="14"/>
      <c r="G67" s="14"/>
      <c r="H67" s="14"/>
      <c r="I67" s="14"/>
      <c r="J67" s="14"/>
      <c r="K67" s="14"/>
      <c r="L67" s="14"/>
      <c r="M67" s="41"/>
      <c r="N67" s="41"/>
      <c r="O67" s="41"/>
      <c r="P67" s="41"/>
      <c r="Q67" s="41"/>
    </row>
    <row r="68" spans="1:17" ht="22.5" customHeight="1">
      <c r="A68" s="16" t="s">
        <v>154</v>
      </c>
      <c r="B68" s="23" t="s">
        <v>65</v>
      </c>
      <c r="C68" s="24" t="s">
        <v>67</v>
      </c>
      <c r="D68" s="14"/>
      <c r="E68" s="14"/>
      <c r="F68" s="14"/>
      <c r="G68" s="14"/>
      <c r="H68" s="14"/>
      <c r="I68" s="14"/>
      <c r="J68" s="14"/>
      <c r="K68" s="14"/>
      <c r="L68" s="14"/>
      <c r="M68" s="41"/>
      <c r="N68" s="41"/>
      <c r="O68" s="41"/>
      <c r="P68" s="41"/>
      <c r="Q68" s="41"/>
    </row>
    <row r="69" spans="1:17" ht="28.5" customHeight="1">
      <c r="A69" s="16" t="s">
        <v>155</v>
      </c>
      <c r="B69" s="23" t="s">
        <v>74</v>
      </c>
      <c r="C69" s="24" t="s">
        <v>67</v>
      </c>
      <c r="D69" s="14"/>
      <c r="E69" s="14"/>
      <c r="F69" s="14">
        <v>151</v>
      </c>
      <c r="G69" s="14">
        <v>85.3</v>
      </c>
      <c r="H69" s="14">
        <v>645</v>
      </c>
      <c r="I69" s="14">
        <v>101.2</v>
      </c>
      <c r="J69" s="14">
        <v>186</v>
      </c>
      <c r="K69" s="14">
        <v>123.2</v>
      </c>
      <c r="L69" s="14">
        <v>804</v>
      </c>
      <c r="M69" s="43">
        <f>SUM(L69/H69*100)</f>
        <v>124.65116279069768</v>
      </c>
      <c r="N69" s="44">
        <v>187</v>
      </c>
      <c r="O69" s="43">
        <f>SUM(N69/J69*100)</f>
        <v>100.53763440860214</v>
      </c>
      <c r="P69" s="44">
        <v>810</v>
      </c>
      <c r="Q69" s="43">
        <f>SUM(P69/L69*100)</f>
        <v>100.74626865671641</v>
      </c>
    </row>
    <row r="70" spans="1:17" ht="18.75">
      <c r="A70" s="16" t="s">
        <v>156</v>
      </c>
      <c r="B70" s="23" t="s">
        <v>66</v>
      </c>
      <c r="C70" s="24" t="s">
        <v>67</v>
      </c>
      <c r="D70" s="14"/>
      <c r="E70" s="14"/>
      <c r="F70" s="14"/>
      <c r="G70" s="14"/>
      <c r="H70" s="14"/>
      <c r="I70" s="14"/>
      <c r="J70" s="14"/>
      <c r="K70" s="14"/>
      <c r="L70" s="14"/>
      <c r="M70" s="41"/>
      <c r="N70" s="41"/>
      <c r="O70" s="41"/>
      <c r="P70" s="41"/>
      <c r="Q70" s="41"/>
    </row>
    <row r="71" spans="1:17" ht="18.75">
      <c r="A71" s="13" t="s">
        <v>157</v>
      </c>
      <c r="B71" s="81" t="s">
        <v>28</v>
      </c>
      <c r="C71" s="74"/>
      <c r="D71" s="14"/>
      <c r="E71" s="14"/>
      <c r="F71" s="14"/>
      <c r="G71" s="14"/>
      <c r="H71" s="14"/>
      <c r="I71" s="14"/>
      <c r="J71" s="14"/>
      <c r="K71" s="14"/>
      <c r="L71" s="14"/>
      <c r="M71" s="41"/>
      <c r="N71" s="41"/>
      <c r="O71" s="41"/>
      <c r="P71" s="41"/>
      <c r="Q71" s="41"/>
    </row>
    <row r="72" spans="1:17" ht="25.5" customHeight="1">
      <c r="A72" s="16" t="s">
        <v>158</v>
      </c>
      <c r="B72" s="19" t="s">
        <v>29</v>
      </c>
      <c r="C72" s="18" t="s">
        <v>17</v>
      </c>
      <c r="D72" s="14"/>
      <c r="E72" s="14"/>
      <c r="F72" s="14">
        <v>509.8</v>
      </c>
      <c r="G72" s="14">
        <v>117.4</v>
      </c>
      <c r="H72" s="68">
        <v>3890.7</v>
      </c>
      <c r="I72" s="14">
        <v>136.8</v>
      </c>
      <c r="J72" s="14">
        <v>609.3</v>
      </c>
      <c r="K72" s="68">
        <f>J72/F72*100</f>
        <v>119.51745782659866</v>
      </c>
      <c r="L72" s="68">
        <v>3786.9</v>
      </c>
      <c r="M72" s="69">
        <f>L72/H72*100</f>
        <v>97.33209962217596</v>
      </c>
      <c r="N72" s="44">
        <v>562.9</v>
      </c>
      <c r="O72" s="69">
        <f>N72/J72*100</f>
        <v>92.38470375841129</v>
      </c>
      <c r="P72" s="69">
        <v>2406.5</v>
      </c>
      <c r="Q72" s="69">
        <f>P72/L72*100</f>
        <v>63.548020808576936</v>
      </c>
    </row>
    <row r="73" spans="1:17" ht="58.5" customHeight="1">
      <c r="A73" s="16" t="s">
        <v>159</v>
      </c>
      <c r="B73" s="19" t="s">
        <v>68</v>
      </c>
      <c r="C73" s="18" t="s">
        <v>17</v>
      </c>
      <c r="D73" s="14"/>
      <c r="E73" s="14"/>
      <c r="F73" s="14">
        <v>278.3</v>
      </c>
      <c r="G73" s="14">
        <v>144.6</v>
      </c>
      <c r="H73" s="68">
        <v>2825.5</v>
      </c>
      <c r="I73" s="14">
        <v>156.5</v>
      </c>
      <c r="J73" s="14">
        <v>380.9</v>
      </c>
      <c r="K73" s="68">
        <f>J73/F73*100</f>
        <v>136.86669062163134</v>
      </c>
      <c r="L73" s="68">
        <v>2692</v>
      </c>
      <c r="M73" s="69">
        <f>L73/H73*100</f>
        <v>95.27517253583436</v>
      </c>
      <c r="N73" s="44">
        <v>294.1</v>
      </c>
      <c r="O73" s="69">
        <f>N73/J73*100</f>
        <v>77.21186663166186</v>
      </c>
      <c r="P73" s="69">
        <v>1298.08</v>
      </c>
      <c r="Q73" s="69">
        <f>P73/L73*100</f>
        <v>48.21991084695394</v>
      </c>
    </row>
    <row r="74" spans="1:17" ht="21" customHeight="1">
      <c r="A74" s="16" t="s">
        <v>160</v>
      </c>
      <c r="B74" s="19" t="s">
        <v>30</v>
      </c>
      <c r="C74" s="18" t="s">
        <v>17</v>
      </c>
      <c r="D74" s="14"/>
      <c r="E74" s="14"/>
      <c r="F74" s="14">
        <v>474.2</v>
      </c>
      <c r="G74" s="14">
        <v>101.4</v>
      </c>
      <c r="H74" s="68">
        <v>3631.2</v>
      </c>
      <c r="I74" s="14">
        <v>128.9</v>
      </c>
      <c r="J74" s="14">
        <v>513.6</v>
      </c>
      <c r="K74" s="68">
        <f>J74/F74*100</f>
        <v>108.30873049346268</v>
      </c>
      <c r="L74" s="68">
        <v>3790.4</v>
      </c>
      <c r="M74" s="69">
        <f>L74/H74*100</f>
        <v>104.3842256003525</v>
      </c>
      <c r="N74" s="69">
        <v>527</v>
      </c>
      <c r="O74" s="69">
        <f>N74/J74*100</f>
        <v>102.60903426791276</v>
      </c>
      <c r="P74" s="69">
        <v>2935.147</v>
      </c>
      <c r="Q74" s="69">
        <f>P74/L74*100</f>
        <v>77.43633917264668</v>
      </c>
    </row>
    <row r="75" spans="1:17" ht="22.5" customHeight="1">
      <c r="A75" s="16" t="s">
        <v>161</v>
      </c>
      <c r="B75" s="19" t="s">
        <v>257</v>
      </c>
      <c r="C75" s="18" t="s">
        <v>17</v>
      </c>
      <c r="D75" s="14"/>
      <c r="E75" s="14"/>
      <c r="F75" s="14">
        <v>14.4</v>
      </c>
      <c r="G75" s="14">
        <v>0.3</v>
      </c>
      <c r="H75" s="14">
        <v>2728.9</v>
      </c>
      <c r="I75" s="14">
        <v>48.9</v>
      </c>
      <c r="J75" s="14">
        <v>92.2</v>
      </c>
      <c r="K75" s="40" t="s">
        <v>254</v>
      </c>
      <c r="L75" s="14">
        <v>3457.9</v>
      </c>
      <c r="M75" s="42">
        <f>SUM(L75/H75*100)</f>
        <v>126.71406061050241</v>
      </c>
      <c r="N75" s="12">
        <v>6045.9</v>
      </c>
      <c r="O75" s="70" t="s">
        <v>263</v>
      </c>
      <c r="P75" s="41"/>
      <c r="Q75" s="41"/>
    </row>
    <row r="76" spans="1:17" ht="22.5" customHeight="1">
      <c r="A76" s="16" t="s">
        <v>162</v>
      </c>
      <c r="B76" s="19" t="s">
        <v>258</v>
      </c>
      <c r="C76" s="18" t="s">
        <v>17</v>
      </c>
      <c r="D76" s="14"/>
      <c r="E76" s="14"/>
      <c r="F76" s="14">
        <v>68739.1</v>
      </c>
      <c r="G76" s="14">
        <v>155.4</v>
      </c>
      <c r="H76" s="14">
        <v>63736.7</v>
      </c>
      <c r="I76" s="14">
        <v>96.1</v>
      </c>
      <c r="J76" s="14">
        <v>67511.6</v>
      </c>
      <c r="K76" s="40">
        <f>SUM(J76/F76*100)</f>
        <v>98.21426233395549</v>
      </c>
      <c r="L76" s="14">
        <v>41725.2</v>
      </c>
      <c r="M76" s="42">
        <f>SUM(L76/H76*100)</f>
        <v>65.46495190369129</v>
      </c>
      <c r="N76" s="12">
        <v>33481.9</v>
      </c>
      <c r="O76" s="70">
        <f>SUM(N76/J76*100)</f>
        <v>49.594291943902974</v>
      </c>
      <c r="P76" s="41"/>
      <c r="Q76" s="41"/>
    </row>
    <row r="77" spans="1:17" ht="18.75" customHeight="1">
      <c r="A77" s="16" t="s">
        <v>163</v>
      </c>
      <c r="B77" s="19" t="s">
        <v>108</v>
      </c>
      <c r="C77" s="18" t="s">
        <v>17</v>
      </c>
      <c r="D77" s="14"/>
      <c r="E77" s="14"/>
      <c r="F77" s="14">
        <v>368</v>
      </c>
      <c r="G77" s="14">
        <v>15.5</v>
      </c>
      <c r="H77" s="14">
        <v>913.6</v>
      </c>
      <c r="I77" s="14">
        <v>178.1</v>
      </c>
      <c r="J77" s="14">
        <v>426.6</v>
      </c>
      <c r="K77" s="40">
        <f>SUM(J77/F77*100)</f>
        <v>115.92391304347827</v>
      </c>
      <c r="L77" s="14">
        <v>1011.5</v>
      </c>
      <c r="M77" s="42">
        <f>SUM(L77/H77*100)</f>
        <v>110.7158493870403</v>
      </c>
      <c r="N77" s="12">
        <v>1830.7</v>
      </c>
      <c r="O77" s="70" t="s">
        <v>264</v>
      </c>
      <c r="P77" s="41"/>
      <c r="Q77" s="41"/>
    </row>
    <row r="78" spans="1:17" ht="27" customHeight="1">
      <c r="A78" s="16" t="s">
        <v>164</v>
      </c>
      <c r="B78" s="19" t="s">
        <v>259</v>
      </c>
      <c r="C78" s="18" t="s">
        <v>17</v>
      </c>
      <c r="D78" s="14"/>
      <c r="E78" s="14"/>
      <c r="F78" s="14">
        <v>56984.1</v>
      </c>
      <c r="G78" s="14">
        <v>165.1</v>
      </c>
      <c r="H78" s="40">
        <v>54299</v>
      </c>
      <c r="I78" s="14">
        <v>98.7</v>
      </c>
      <c r="J78" s="14">
        <v>57731.2</v>
      </c>
      <c r="K78" s="40">
        <f>SUM(J78/F78*100)</f>
        <v>101.31106747320744</v>
      </c>
      <c r="L78" s="14">
        <v>47721.4</v>
      </c>
      <c r="M78" s="42">
        <f>SUM(L78/H78*100)</f>
        <v>87.88633308164054</v>
      </c>
      <c r="N78" s="12">
        <v>47202.2</v>
      </c>
      <c r="O78" s="70">
        <f>SUM(N78/J78*100)</f>
        <v>81.76202815808436</v>
      </c>
      <c r="P78" s="41"/>
      <c r="Q78" s="41"/>
    </row>
    <row r="79" spans="1:17" ht="19.5" customHeight="1">
      <c r="A79" s="16" t="s">
        <v>165</v>
      </c>
      <c r="B79" s="19" t="s">
        <v>108</v>
      </c>
      <c r="C79" s="18" t="s">
        <v>17</v>
      </c>
      <c r="D79" s="14"/>
      <c r="E79" s="14"/>
      <c r="F79" s="14">
        <v>442.8</v>
      </c>
      <c r="G79" s="14">
        <v>57.8</v>
      </c>
      <c r="H79" s="14">
        <v>30143.6</v>
      </c>
      <c r="I79" s="14" t="s">
        <v>255</v>
      </c>
      <c r="J79" s="14">
        <v>25725.7</v>
      </c>
      <c r="K79" s="40" t="s">
        <v>256</v>
      </c>
      <c r="L79" s="14">
        <v>12140.9</v>
      </c>
      <c r="M79" s="42">
        <f>SUM(L79/H79*100)</f>
        <v>40.276874693135525</v>
      </c>
      <c r="N79" s="12">
        <v>15185.7</v>
      </c>
      <c r="O79" s="70">
        <f>SUM(N79/J79*100)</f>
        <v>59.02929755069833</v>
      </c>
      <c r="P79" s="41"/>
      <c r="Q79" s="41"/>
    </row>
    <row r="80" spans="1:17" ht="21.75" customHeight="1">
      <c r="A80" s="13" t="s">
        <v>166</v>
      </c>
      <c r="B80" s="81" t="s">
        <v>31</v>
      </c>
      <c r="C80" s="74"/>
      <c r="D80" s="14"/>
      <c r="E80" s="14"/>
      <c r="F80" s="14"/>
      <c r="G80" s="14"/>
      <c r="H80" s="14"/>
      <c r="I80" s="14"/>
      <c r="J80" s="14"/>
      <c r="K80" s="14"/>
      <c r="L80" s="14"/>
      <c r="M80" s="41"/>
      <c r="N80" s="41"/>
      <c r="O80" s="41"/>
      <c r="P80" s="41"/>
      <c r="Q80" s="41"/>
    </row>
    <row r="81" spans="1:17" ht="22.5" customHeight="1">
      <c r="A81" s="16" t="s">
        <v>167</v>
      </c>
      <c r="B81" s="19" t="s">
        <v>52</v>
      </c>
      <c r="C81" s="18" t="s">
        <v>32</v>
      </c>
      <c r="D81" s="14"/>
      <c r="E81" s="14"/>
      <c r="F81" s="14">
        <v>1.7</v>
      </c>
      <c r="G81" s="14">
        <v>36.2</v>
      </c>
      <c r="H81" s="14">
        <v>54.3</v>
      </c>
      <c r="I81" s="14" t="s">
        <v>251</v>
      </c>
      <c r="J81" s="14">
        <v>3.8</v>
      </c>
      <c r="K81" s="14" t="s">
        <v>253</v>
      </c>
      <c r="L81" s="14">
        <v>23.6</v>
      </c>
      <c r="M81" s="41">
        <v>43.5</v>
      </c>
      <c r="N81" s="41">
        <v>2.7</v>
      </c>
      <c r="O81" s="42">
        <f>SUM(N81/J81*100)</f>
        <v>71.05263157894738</v>
      </c>
      <c r="P81" s="41">
        <v>35.1</v>
      </c>
      <c r="Q81" s="42">
        <f>SUM(P81/M81*100)</f>
        <v>80.6896551724138</v>
      </c>
    </row>
    <row r="82" spans="1:17" ht="19.5" customHeight="1">
      <c r="A82" s="16" t="s">
        <v>168</v>
      </c>
      <c r="B82" s="19" t="s">
        <v>33</v>
      </c>
      <c r="C82" s="18" t="s">
        <v>34</v>
      </c>
      <c r="D82" s="14"/>
      <c r="E82" s="14"/>
      <c r="F82" s="14"/>
      <c r="G82" s="14"/>
      <c r="H82" s="14"/>
      <c r="I82" s="14"/>
      <c r="J82" s="14"/>
      <c r="K82" s="14"/>
      <c r="L82" s="14"/>
      <c r="M82" s="41"/>
      <c r="N82" s="41"/>
      <c r="O82" s="41"/>
      <c r="P82" s="41"/>
      <c r="Q82" s="41"/>
    </row>
    <row r="83" spans="1:17" ht="21.75" customHeight="1">
      <c r="A83" s="16" t="s">
        <v>169</v>
      </c>
      <c r="B83" s="19" t="s">
        <v>35</v>
      </c>
      <c r="C83" s="18" t="s">
        <v>36</v>
      </c>
      <c r="D83" s="14"/>
      <c r="E83" s="14"/>
      <c r="F83" s="14"/>
      <c r="G83" s="14"/>
      <c r="H83" s="14"/>
      <c r="I83" s="14"/>
      <c r="J83" s="14"/>
      <c r="K83" s="14"/>
      <c r="L83" s="14"/>
      <c r="M83" s="41"/>
      <c r="N83" s="41"/>
      <c r="O83" s="41"/>
      <c r="P83" s="41"/>
      <c r="Q83" s="41"/>
    </row>
    <row r="84" spans="1:17" ht="18.75" customHeight="1">
      <c r="A84" s="16" t="s">
        <v>170</v>
      </c>
      <c r="B84" s="19" t="s">
        <v>37</v>
      </c>
      <c r="C84" s="18" t="s">
        <v>38</v>
      </c>
      <c r="D84" s="14"/>
      <c r="E84" s="14"/>
      <c r="F84" s="14"/>
      <c r="G84" s="14"/>
      <c r="H84" s="14"/>
      <c r="I84" s="14"/>
      <c r="J84" s="14"/>
      <c r="K84" s="14"/>
      <c r="L84" s="14"/>
      <c r="M84" s="41"/>
      <c r="N84" s="41"/>
      <c r="O84" s="41"/>
      <c r="P84" s="41"/>
      <c r="Q84" s="41"/>
    </row>
    <row r="85" spans="1:17" ht="19.5" customHeight="1">
      <c r="A85" s="16" t="s">
        <v>171</v>
      </c>
      <c r="B85" s="19" t="s">
        <v>39</v>
      </c>
      <c r="C85" s="18" t="s">
        <v>40</v>
      </c>
      <c r="D85" s="14"/>
      <c r="E85" s="14"/>
      <c r="F85" s="14"/>
      <c r="G85" s="14"/>
      <c r="H85" s="14"/>
      <c r="I85" s="14"/>
      <c r="J85" s="14"/>
      <c r="K85" s="14"/>
      <c r="L85" s="14"/>
      <c r="M85" s="41"/>
      <c r="N85" s="41"/>
      <c r="O85" s="41"/>
      <c r="P85" s="41"/>
      <c r="Q85" s="41"/>
    </row>
    <row r="86" spans="1:17" ht="21.75" customHeight="1">
      <c r="A86" s="13" t="s">
        <v>172</v>
      </c>
      <c r="B86" s="81" t="s">
        <v>75</v>
      </c>
      <c r="C86" s="74"/>
      <c r="D86" s="14"/>
      <c r="E86" s="14"/>
      <c r="F86" s="14"/>
      <c r="G86" s="14"/>
      <c r="H86" s="14"/>
      <c r="I86" s="14"/>
      <c r="J86" s="14"/>
      <c r="K86" s="14"/>
      <c r="L86" s="14"/>
      <c r="M86" s="41"/>
      <c r="N86" s="41"/>
      <c r="O86" s="41"/>
      <c r="P86" s="41"/>
      <c r="Q86" s="41"/>
    </row>
    <row r="87" spans="1:17" ht="38.25" customHeight="1">
      <c r="A87" s="16" t="s">
        <v>173</v>
      </c>
      <c r="B87" s="25" t="s">
        <v>87</v>
      </c>
      <c r="C87" s="18" t="s">
        <v>53</v>
      </c>
      <c r="D87" s="14"/>
      <c r="E87" s="14"/>
      <c r="F87" s="57">
        <v>6</v>
      </c>
      <c r="G87" s="58">
        <v>1</v>
      </c>
      <c r="H87" s="57">
        <v>6</v>
      </c>
      <c r="I87" s="58">
        <v>1</v>
      </c>
      <c r="J87" s="57">
        <v>6</v>
      </c>
      <c r="K87" s="58">
        <f>J87/F87</f>
        <v>1</v>
      </c>
      <c r="L87" s="59">
        <v>7</v>
      </c>
      <c r="M87" s="58">
        <f>L87/H87</f>
        <v>1.1666666666666667</v>
      </c>
      <c r="N87" s="59">
        <v>7</v>
      </c>
      <c r="O87" s="58">
        <f>N87/L87</f>
        <v>1</v>
      </c>
      <c r="P87" s="59">
        <v>7</v>
      </c>
      <c r="Q87" s="58">
        <f>P87/N87</f>
        <v>1</v>
      </c>
    </row>
    <row r="88" spans="1:17" ht="30" customHeight="1">
      <c r="A88" s="16" t="s">
        <v>174</v>
      </c>
      <c r="B88" s="27" t="s">
        <v>88</v>
      </c>
      <c r="C88" s="18" t="s">
        <v>53</v>
      </c>
      <c r="D88" s="14"/>
      <c r="E88" s="14"/>
      <c r="F88" s="57">
        <v>4</v>
      </c>
      <c r="G88" s="58">
        <v>1</v>
      </c>
      <c r="H88" s="57">
        <v>4</v>
      </c>
      <c r="I88" s="58">
        <v>1</v>
      </c>
      <c r="J88" s="57">
        <v>4</v>
      </c>
      <c r="K88" s="58">
        <f>J88/F88</f>
        <v>1</v>
      </c>
      <c r="L88" s="59">
        <v>5</v>
      </c>
      <c r="M88" s="58">
        <f>L88/H88</f>
        <v>1.25</v>
      </c>
      <c r="N88" s="59">
        <v>5</v>
      </c>
      <c r="O88" s="58">
        <f>N88/L88</f>
        <v>1</v>
      </c>
      <c r="P88" s="59">
        <v>5</v>
      </c>
      <c r="Q88" s="58">
        <f>P88/N88</f>
        <v>1</v>
      </c>
    </row>
    <row r="89" spans="1:17" ht="27.75" customHeight="1">
      <c r="A89" s="16" t="s">
        <v>175</v>
      </c>
      <c r="B89" s="28" t="s">
        <v>90</v>
      </c>
      <c r="C89" s="18" t="s">
        <v>53</v>
      </c>
      <c r="D89" s="14"/>
      <c r="E89" s="14"/>
      <c r="F89" s="57">
        <v>1</v>
      </c>
      <c r="G89" s="58">
        <v>1</v>
      </c>
      <c r="H89" s="57">
        <v>1</v>
      </c>
      <c r="I89" s="58">
        <v>1</v>
      </c>
      <c r="J89" s="57">
        <v>1</v>
      </c>
      <c r="K89" s="58">
        <f>J89/F89</f>
        <v>1</v>
      </c>
      <c r="L89" s="59">
        <v>2</v>
      </c>
      <c r="M89" s="58">
        <f>L89/H89</f>
        <v>2</v>
      </c>
      <c r="N89" s="59">
        <v>2</v>
      </c>
      <c r="O89" s="58">
        <f>N89/L89</f>
        <v>1</v>
      </c>
      <c r="P89" s="59">
        <v>2</v>
      </c>
      <c r="Q89" s="58">
        <f>P89/N89</f>
        <v>1</v>
      </c>
    </row>
    <row r="90" spans="1:17" ht="37.5" customHeight="1">
      <c r="A90" s="16" t="s">
        <v>176</v>
      </c>
      <c r="B90" s="29" t="s">
        <v>89</v>
      </c>
      <c r="C90" s="18" t="s">
        <v>53</v>
      </c>
      <c r="D90" s="14"/>
      <c r="E90" s="14"/>
      <c r="F90" s="57">
        <v>2</v>
      </c>
      <c r="G90" s="58">
        <v>1</v>
      </c>
      <c r="H90" s="57">
        <v>2</v>
      </c>
      <c r="I90" s="58">
        <v>1</v>
      </c>
      <c r="J90" s="57">
        <v>2</v>
      </c>
      <c r="K90" s="58">
        <f>J90/F90</f>
        <v>1</v>
      </c>
      <c r="L90" s="59">
        <v>2</v>
      </c>
      <c r="M90" s="58">
        <f>L90/H90</f>
        <v>1</v>
      </c>
      <c r="N90" s="59">
        <v>2</v>
      </c>
      <c r="O90" s="58">
        <f>N90/L90</f>
        <v>1</v>
      </c>
      <c r="P90" s="59">
        <v>2</v>
      </c>
      <c r="Q90" s="58">
        <f>P90/N90</f>
        <v>1</v>
      </c>
    </row>
    <row r="91" spans="1:17" ht="29.25" customHeight="1">
      <c r="A91" s="16" t="s">
        <v>177</v>
      </c>
      <c r="B91" s="28" t="s">
        <v>90</v>
      </c>
      <c r="C91" s="18" t="s">
        <v>53</v>
      </c>
      <c r="D91" s="14"/>
      <c r="E91" s="14"/>
      <c r="F91" s="57"/>
      <c r="G91" s="58"/>
      <c r="H91" s="57"/>
      <c r="I91" s="58"/>
      <c r="J91" s="57"/>
      <c r="K91" s="58"/>
      <c r="L91" s="57"/>
      <c r="M91" s="58"/>
      <c r="N91" s="60"/>
      <c r="O91" s="58"/>
      <c r="P91" s="60"/>
      <c r="Q91" s="58"/>
    </row>
    <row r="92" spans="1:17" ht="36.75" customHeight="1">
      <c r="A92" s="16" t="s">
        <v>178</v>
      </c>
      <c r="B92" s="19" t="s">
        <v>54</v>
      </c>
      <c r="C92" s="18" t="s">
        <v>7</v>
      </c>
      <c r="D92" s="14"/>
      <c r="E92" s="14" t="s">
        <v>93</v>
      </c>
      <c r="F92" s="57">
        <v>100</v>
      </c>
      <c r="G92" s="58"/>
      <c r="H92" s="57">
        <v>100</v>
      </c>
      <c r="I92" s="58"/>
      <c r="J92" s="57">
        <v>100</v>
      </c>
      <c r="K92" s="58"/>
      <c r="L92" s="57">
        <v>100</v>
      </c>
      <c r="M92" s="58"/>
      <c r="N92" s="60">
        <v>100</v>
      </c>
      <c r="O92" s="58"/>
      <c r="P92" s="60"/>
      <c r="Q92" s="58"/>
    </row>
    <row r="93" spans="1:17" ht="21.75" customHeight="1">
      <c r="A93" s="16" t="s">
        <v>179</v>
      </c>
      <c r="B93" s="19" t="s">
        <v>55</v>
      </c>
      <c r="C93" s="18" t="s">
        <v>3</v>
      </c>
      <c r="D93" s="14"/>
      <c r="E93" s="14"/>
      <c r="F93" s="57">
        <v>197.9</v>
      </c>
      <c r="G93" s="58">
        <v>1.305</v>
      </c>
      <c r="H93" s="57">
        <v>242.8</v>
      </c>
      <c r="I93" s="58">
        <v>1.337</v>
      </c>
      <c r="J93" s="57">
        <v>223.7</v>
      </c>
      <c r="K93" s="58">
        <f>J93/F93</f>
        <v>1.1303688731682666</v>
      </c>
      <c r="L93" s="57">
        <v>275.41</v>
      </c>
      <c r="M93" s="58">
        <f>L93/H93</f>
        <v>1.1343080724876442</v>
      </c>
      <c r="N93" s="61">
        <v>221.4</v>
      </c>
      <c r="O93" s="58">
        <f>N93/L93</f>
        <v>0.8038923786354889</v>
      </c>
      <c r="P93" s="60">
        <v>246</v>
      </c>
      <c r="Q93" s="58">
        <f>P93/N93</f>
        <v>1.1111111111111112</v>
      </c>
    </row>
    <row r="94" spans="1:17" ht="39.75" customHeight="1">
      <c r="A94" s="16" t="s">
        <v>180</v>
      </c>
      <c r="B94" s="19" t="s">
        <v>56</v>
      </c>
      <c r="C94" s="18" t="s">
        <v>7</v>
      </c>
      <c r="D94" s="14"/>
      <c r="E94" s="14" t="s">
        <v>93</v>
      </c>
      <c r="F94" s="57">
        <v>53.3</v>
      </c>
      <c r="G94" s="58">
        <f>53.3/64.4</f>
        <v>0.8276397515527949</v>
      </c>
      <c r="H94" s="57">
        <v>51.9</v>
      </c>
      <c r="I94" s="58">
        <v>0.896</v>
      </c>
      <c r="J94" s="57">
        <v>53</v>
      </c>
      <c r="K94" s="58">
        <f>J94/F94</f>
        <v>0.9943714821763603</v>
      </c>
      <c r="L94" s="62">
        <f>133.163/L93*100</f>
        <v>48.35082241022475</v>
      </c>
      <c r="M94" s="58">
        <f>L94/H94</f>
        <v>0.9316150753415174</v>
      </c>
      <c r="N94" s="63">
        <f>101.3/N93*100</f>
        <v>45.754290876242095</v>
      </c>
      <c r="O94" s="58">
        <f>N94/L94</f>
        <v>0.9462980895763715</v>
      </c>
      <c r="P94" s="64">
        <f>120/P93*100</f>
        <v>48.78048780487805</v>
      </c>
      <c r="Q94" s="58">
        <f>P94/N94</f>
        <v>1.0661401776900297</v>
      </c>
    </row>
    <row r="95" spans="1:17" ht="39.75" customHeight="1">
      <c r="A95" s="16" t="s">
        <v>181</v>
      </c>
      <c r="B95" s="30" t="s">
        <v>69</v>
      </c>
      <c r="C95" s="18" t="s">
        <v>3</v>
      </c>
      <c r="D95" s="14"/>
      <c r="E95" s="14"/>
      <c r="F95" s="57">
        <v>5.39</v>
      </c>
      <c r="G95" s="58">
        <v>1.177</v>
      </c>
      <c r="H95" s="57">
        <v>25.9</v>
      </c>
      <c r="I95" s="58">
        <v>1.479</v>
      </c>
      <c r="J95" s="57">
        <v>6.45</v>
      </c>
      <c r="K95" s="58">
        <f>J95/F95</f>
        <v>1.1966604823747682</v>
      </c>
      <c r="L95" s="57">
        <v>25.81</v>
      </c>
      <c r="M95" s="58">
        <f>L95/H95</f>
        <v>0.9965250965250966</v>
      </c>
      <c r="N95" s="60">
        <v>6.33</v>
      </c>
      <c r="O95" s="58">
        <f>N95/L95</f>
        <v>0.24525377760557926</v>
      </c>
      <c r="P95" s="60">
        <v>26</v>
      </c>
      <c r="Q95" s="58">
        <f>P95/N95</f>
        <v>4.107424960505529</v>
      </c>
    </row>
    <row r="96" spans="1:17" ht="57.75" customHeight="1">
      <c r="A96" s="16" t="s">
        <v>182</v>
      </c>
      <c r="B96" s="31" t="s">
        <v>97</v>
      </c>
      <c r="C96" s="26" t="s">
        <v>7</v>
      </c>
      <c r="D96" s="14"/>
      <c r="E96" s="14"/>
      <c r="F96" s="57">
        <v>100</v>
      </c>
      <c r="G96" s="58" t="s">
        <v>93</v>
      </c>
      <c r="H96" s="57">
        <v>99.5</v>
      </c>
      <c r="I96" s="58" t="s">
        <v>93</v>
      </c>
      <c r="J96" s="57">
        <v>100</v>
      </c>
      <c r="K96" s="58" t="s">
        <v>93</v>
      </c>
      <c r="L96" s="57">
        <v>99.8</v>
      </c>
      <c r="M96" s="58" t="s">
        <v>93</v>
      </c>
      <c r="N96" s="60">
        <v>100</v>
      </c>
      <c r="O96" s="58" t="s">
        <v>93</v>
      </c>
      <c r="P96" s="60">
        <v>99.9</v>
      </c>
      <c r="Q96" s="58" t="s">
        <v>93</v>
      </c>
    </row>
    <row r="97" spans="1:17" ht="54.75" customHeight="1">
      <c r="A97" s="16" t="s">
        <v>183</v>
      </c>
      <c r="B97" s="31" t="s">
        <v>105</v>
      </c>
      <c r="C97" s="26" t="s">
        <v>53</v>
      </c>
      <c r="D97" s="14"/>
      <c r="E97" s="14"/>
      <c r="F97" s="57">
        <v>606</v>
      </c>
      <c r="G97" s="58" t="s">
        <v>93</v>
      </c>
      <c r="H97" s="57">
        <v>848</v>
      </c>
      <c r="I97" s="58">
        <v>1.11</v>
      </c>
      <c r="J97" s="57">
        <v>745</v>
      </c>
      <c r="K97" s="58" t="s">
        <v>93</v>
      </c>
      <c r="L97" s="57">
        <v>921</v>
      </c>
      <c r="M97" s="58" t="s">
        <v>93</v>
      </c>
      <c r="N97" s="60">
        <v>705</v>
      </c>
      <c r="O97" s="58" t="s">
        <v>93</v>
      </c>
      <c r="P97" s="60">
        <v>920</v>
      </c>
      <c r="Q97" s="58" t="s">
        <v>93</v>
      </c>
    </row>
    <row r="98" spans="1:17" ht="75" customHeight="1">
      <c r="A98" s="16" t="s">
        <v>184</v>
      </c>
      <c r="B98" s="31" t="s">
        <v>106</v>
      </c>
      <c r="C98" s="26" t="s">
        <v>86</v>
      </c>
      <c r="D98" s="14"/>
      <c r="E98" s="14"/>
      <c r="F98" s="57">
        <v>1240</v>
      </c>
      <c r="G98" s="58" t="s">
        <v>93</v>
      </c>
      <c r="H98" s="57">
        <v>1484</v>
      </c>
      <c r="I98" s="58">
        <v>1.328</v>
      </c>
      <c r="J98" s="57">
        <v>1535</v>
      </c>
      <c r="K98" s="58" t="s">
        <v>93</v>
      </c>
      <c r="L98" s="57">
        <v>1533</v>
      </c>
      <c r="M98" s="58" t="s">
        <v>93</v>
      </c>
      <c r="N98" s="60">
        <v>1564</v>
      </c>
      <c r="O98" s="58" t="s">
        <v>93</v>
      </c>
      <c r="P98" s="60"/>
      <c r="Q98" s="58" t="s">
        <v>93</v>
      </c>
    </row>
    <row r="99" spans="1:17" s="4" customFormat="1" ht="99" customHeight="1">
      <c r="A99" s="16" t="s">
        <v>185</v>
      </c>
      <c r="B99" s="25" t="s">
        <v>98</v>
      </c>
      <c r="C99" s="26" t="s">
        <v>7</v>
      </c>
      <c r="D99" s="32"/>
      <c r="E99" s="32"/>
      <c r="F99" s="57">
        <v>84.2</v>
      </c>
      <c r="G99" s="58" t="s">
        <v>93</v>
      </c>
      <c r="H99" s="57">
        <v>84.2</v>
      </c>
      <c r="I99" s="58" t="s">
        <v>93</v>
      </c>
      <c r="J99" s="57">
        <v>84.2</v>
      </c>
      <c r="K99" s="58" t="s">
        <v>93</v>
      </c>
      <c r="L99" s="57">
        <v>84.9</v>
      </c>
      <c r="M99" s="58" t="s">
        <v>93</v>
      </c>
      <c r="N99" s="60">
        <f>L99</f>
        <v>84.9</v>
      </c>
      <c r="O99" s="58" t="s">
        <v>93</v>
      </c>
      <c r="P99" s="60">
        <f>N99</f>
        <v>84.9</v>
      </c>
      <c r="Q99" s="58" t="s">
        <v>93</v>
      </c>
    </row>
    <row r="100" spans="1:17" s="4" customFormat="1" ht="38.25" customHeight="1">
      <c r="A100" s="16" t="s">
        <v>186</v>
      </c>
      <c r="B100" s="19" t="s">
        <v>99</v>
      </c>
      <c r="C100" s="18" t="s">
        <v>7</v>
      </c>
      <c r="D100" s="32"/>
      <c r="E100" s="32"/>
      <c r="F100" s="57">
        <v>96.5</v>
      </c>
      <c r="G100" s="58" t="s">
        <v>93</v>
      </c>
      <c r="H100" s="57">
        <v>96.5</v>
      </c>
      <c r="I100" s="58" t="s">
        <v>93</v>
      </c>
      <c r="J100" s="57">
        <v>96.5</v>
      </c>
      <c r="K100" s="58" t="s">
        <v>93</v>
      </c>
      <c r="L100" s="57">
        <f>964.1/964.1*100</f>
        <v>100</v>
      </c>
      <c r="M100" s="58" t="s">
        <v>93</v>
      </c>
      <c r="N100" s="60">
        <f>L100</f>
        <v>100</v>
      </c>
      <c r="O100" s="58" t="s">
        <v>93</v>
      </c>
      <c r="P100" s="60">
        <f aca="true" t="shared" si="5" ref="P100:P106">N100</f>
        <v>100</v>
      </c>
      <c r="Q100" s="58" t="s">
        <v>93</v>
      </c>
    </row>
    <row r="101" spans="1:17" s="4" customFormat="1" ht="39.75" customHeight="1">
      <c r="A101" s="16" t="s">
        <v>187</v>
      </c>
      <c r="B101" s="19" t="s">
        <v>100</v>
      </c>
      <c r="C101" s="18" t="s">
        <v>7</v>
      </c>
      <c r="D101" s="32"/>
      <c r="E101" s="32"/>
      <c r="F101" s="57">
        <v>90.6</v>
      </c>
      <c r="G101" s="58" t="s">
        <v>93</v>
      </c>
      <c r="H101" s="57">
        <v>90.6</v>
      </c>
      <c r="I101" s="58" t="s">
        <v>93</v>
      </c>
      <c r="J101" s="57">
        <v>90.6</v>
      </c>
      <c r="K101" s="58" t="s">
        <v>93</v>
      </c>
      <c r="L101" s="62">
        <f>875/964.1*100</f>
        <v>90.7582201016492</v>
      </c>
      <c r="M101" s="58" t="s">
        <v>93</v>
      </c>
      <c r="N101" s="64">
        <f aca="true" t="shared" si="6" ref="N101:N106">L101</f>
        <v>90.7582201016492</v>
      </c>
      <c r="O101" s="58" t="s">
        <v>93</v>
      </c>
      <c r="P101" s="64">
        <f t="shared" si="5"/>
        <v>90.7582201016492</v>
      </c>
      <c r="Q101" s="58" t="s">
        <v>93</v>
      </c>
    </row>
    <row r="102" spans="1:17" s="4" customFormat="1" ht="40.5" customHeight="1">
      <c r="A102" s="16" t="s">
        <v>188</v>
      </c>
      <c r="B102" s="19" t="s">
        <v>101</v>
      </c>
      <c r="C102" s="18" t="s">
        <v>7</v>
      </c>
      <c r="D102" s="32"/>
      <c r="E102" s="32"/>
      <c r="F102" s="57">
        <v>97</v>
      </c>
      <c r="G102" s="58" t="s">
        <v>93</v>
      </c>
      <c r="H102" s="57">
        <v>97</v>
      </c>
      <c r="I102" s="58" t="s">
        <v>93</v>
      </c>
      <c r="J102" s="57">
        <v>97</v>
      </c>
      <c r="K102" s="58" t="s">
        <v>93</v>
      </c>
      <c r="L102" s="62">
        <f>939/964.1*100</f>
        <v>97.39653562908411</v>
      </c>
      <c r="M102" s="58" t="s">
        <v>93</v>
      </c>
      <c r="N102" s="64">
        <f t="shared" si="6"/>
        <v>97.39653562908411</v>
      </c>
      <c r="O102" s="58" t="s">
        <v>93</v>
      </c>
      <c r="P102" s="64">
        <f t="shared" si="5"/>
        <v>97.39653562908411</v>
      </c>
      <c r="Q102" s="58" t="s">
        <v>93</v>
      </c>
    </row>
    <row r="103" spans="1:17" s="4" customFormat="1" ht="38.25" customHeight="1">
      <c r="A103" s="16" t="s">
        <v>189</v>
      </c>
      <c r="B103" s="19" t="s">
        <v>102</v>
      </c>
      <c r="C103" s="18" t="s">
        <v>7</v>
      </c>
      <c r="D103" s="32"/>
      <c r="E103" s="32"/>
      <c r="F103" s="57">
        <v>82.9</v>
      </c>
      <c r="G103" s="58" t="s">
        <v>93</v>
      </c>
      <c r="H103" s="57">
        <v>82.9</v>
      </c>
      <c r="I103" s="58" t="s">
        <v>93</v>
      </c>
      <c r="J103" s="57">
        <v>82.9</v>
      </c>
      <c r="K103" s="58" t="s">
        <v>93</v>
      </c>
      <c r="L103" s="62">
        <f>805.3/964.1*100</f>
        <v>83.52867959755211</v>
      </c>
      <c r="M103" s="58" t="s">
        <v>93</v>
      </c>
      <c r="N103" s="64">
        <f t="shared" si="6"/>
        <v>83.52867959755211</v>
      </c>
      <c r="O103" s="58" t="s">
        <v>93</v>
      </c>
      <c r="P103" s="64">
        <f t="shared" si="5"/>
        <v>83.52867959755211</v>
      </c>
      <c r="Q103" s="58" t="s">
        <v>93</v>
      </c>
    </row>
    <row r="104" spans="1:17" s="4" customFormat="1" ht="24.75" customHeight="1">
      <c r="A104" s="16" t="s">
        <v>190</v>
      </c>
      <c r="B104" s="19" t="s">
        <v>103</v>
      </c>
      <c r="C104" s="18" t="s">
        <v>7</v>
      </c>
      <c r="D104" s="32"/>
      <c r="E104" s="32"/>
      <c r="F104" s="57">
        <v>97.8</v>
      </c>
      <c r="G104" s="58" t="s">
        <v>93</v>
      </c>
      <c r="H104" s="57">
        <v>97.8</v>
      </c>
      <c r="I104" s="58" t="s">
        <v>93</v>
      </c>
      <c r="J104" s="57">
        <v>97.8</v>
      </c>
      <c r="K104" s="58" t="s">
        <v>93</v>
      </c>
      <c r="L104" s="62">
        <f>947/964.1*100</f>
        <v>98.22632507001349</v>
      </c>
      <c r="M104" s="58" t="s">
        <v>93</v>
      </c>
      <c r="N104" s="64">
        <f t="shared" si="6"/>
        <v>98.22632507001349</v>
      </c>
      <c r="O104" s="58" t="s">
        <v>93</v>
      </c>
      <c r="P104" s="64">
        <f t="shared" si="5"/>
        <v>98.22632507001349</v>
      </c>
      <c r="Q104" s="58" t="s">
        <v>93</v>
      </c>
    </row>
    <row r="105" spans="1:17" s="4" customFormat="1" ht="39.75" customHeight="1">
      <c r="A105" s="16" t="s">
        <v>191</v>
      </c>
      <c r="B105" s="19" t="s">
        <v>107</v>
      </c>
      <c r="C105" s="18" t="s">
        <v>7</v>
      </c>
      <c r="D105" s="32"/>
      <c r="E105" s="32"/>
      <c r="F105" s="57">
        <v>84.2</v>
      </c>
      <c r="G105" s="58" t="s">
        <v>93</v>
      </c>
      <c r="H105" s="57">
        <v>84.2</v>
      </c>
      <c r="I105" s="58" t="s">
        <v>93</v>
      </c>
      <c r="J105" s="57">
        <v>84.2</v>
      </c>
      <c r="K105" s="58" t="s">
        <v>93</v>
      </c>
      <c r="L105" s="62">
        <f>818.4/964.1*100</f>
        <v>84.88745980707395</v>
      </c>
      <c r="M105" s="58" t="s">
        <v>93</v>
      </c>
      <c r="N105" s="64">
        <f t="shared" si="6"/>
        <v>84.88745980707395</v>
      </c>
      <c r="O105" s="58" t="s">
        <v>93</v>
      </c>
      <c r="P105" s="64">
        <f t="shared" si="5"/>
        <v>84.88745980707395</v>
      </c>
      <c r="Q105" s="58" t="s">
        <v>93</v>
      </c>
    </row>
    <row r="106" spans="1:17" s="4" customFormat="1" ht="38.25" customHeight="1">
      <c r="A106" s="16" t="s">
        <v>192</v>
      </c>
      <c r="B106" s="19" t="s">
        <v>104</v>
      </c>
      <c r="C106" s="18" t="s">
        <v>7</v>
      </c>
      <c r="D106" s="32"/>
      <c r="E106" s="32"/>
      <c r="F106" s="57">
        <v>1.9</v>
      </c>
      <c r="G106" s="58" t="s">
        <v>93</v>
      </c>
      <c r="H106" s="57">
        <v>1.9</v>
      </c>
      <c r="I106" s="58" t="s">
        <v>93</v>
      </c>
      <c r="J106" s="57">
        <v>1.9</v>
      </c>
      <c r="K106" s="58" t="s">
        <v>93</v>
      </c>
      <c r="L106" s="65">
        <v>1.9</v>
      </c>
      <c r="M106" s="58" t="s">
        <v>93</v>
      </c>
      <c r="N106" s="64">
        <f t="shared" si="6"/>
        <v>1.9</v>
      </c>
      <c r="O106" s="58" t="s">
        <v>93</v>
      </c>
      <c r="P106" s="64">
        <f t="shared" si="5"/>
        <v>1.9</v>
      </c>
      <c r="Q106" s="58" t="s">
        <v>93</v>
      </c>
    </row>
    <row r="107" spans="1:17" ht="22.5" customHeight="1">
      <c r="A107" s="13" t="s">
        <v>193</v>
      </c>
      <c r="B107" s="81" t="s">
        <v>41</v>
      </c>
      <c r="C107" s="74"/>
      <c r="D107" s="14"/>
      <c r="E107" s="14"/>
      <c r="F107" s="14"/>
      <c r="G107" s="14"/>
      <c r="H107" s="14"/>
      <c r="I107" s="14"/>
      <c r="J107" s="14"/>
      <c r="K107" s="14"/>
      <c r="L107" s="14"/>
      <c r="M107" s="41"/>
      <c r="N107" s="41"/>
      <c r="O107" s="41"/>
      <c r="P107" s="41"/>
      <c r="Q107" s="41"/>
    </row>
    <row r="108" spans="1:17" ht="59.25" customHeight="1">
      <c r="A108" s="16" t="s">
        <v>194</v>
      </c>
      <c r="B108" s="19" t="s">
        <v>48</v>
      </c>
      <c r="C108" s="18" t="s">
        <v>42</v>
      </c>
      <c r="D108" s="14"/>
      <c r="E108" s="14"/>
      <c r="F108" s="14">
        <v>57670.1</v>
      </c>
      <c r="G108" s="40">
        <v>112.3</v>
      </c>
      <c r="H108" s="14">
        <v>53467.7</v>
      </c>
      <c r="I108" s="43">
        <v>110.3</v>
      </c>
      <c r="J108" s="14">
        <v>51986.8</v>
      </c>
      <c r="K108" s="40">
        <f>SUM(J108/F108)*100</f>
        <v>90.1451532076414</v>
      </c>
      <c r="L108" s="14">
        <v>60205.5</v>
      </c>
      <c r="M108" s="43">
        <f>SUM(L108/H108)*100</f>
        <v>112.60162677653986</v>
      </c>
      <c r="N108" s="44">
        <v>55607.3</v>
      </c>
      <c r="O108" s="43">
        <f>SUM(N108/J108)*100</f>
        <v>106.96426785260873</v>
      </c>
      <c r="P108" s="44">
        <v>66206</v>
      </c>
      <c r="Q108" s="43">
        <f>SUM(P108/L108)*100</f>
        <v>109.96669739475628</v>
      </c>
    </row>
    <row r="109" spans="1:17" ht="22.5" customHeight="1">
      <c r="A109" s="16" t="s">
        <v>195</v>
      </c>
      <c r="B109" s="19" t="s">
        <v>43</v>
      </c>
      <c r="C109" s="18" t="s">
        <v>42</v>
      </c>
      <c r="D109" s="14"/>
      <c r="E109" s="14"/>
      <c r="F109" s="14">
        <v>37983.5</v>
      </c>
      <c r="G109" s="40">
        <v>108.7</v>
      </c>
      <c r="H109" s="14">
        <v>38758</v>
      </c>
      <c r="I109" s="43">
        <v>106.8</v>
      </c>
      <c r="J109" s="14">
        <v>39502.8</v>
      </c>
      <c r="K109" s="40">
        <f>SUM(J109/F109)*100</f>
        <v>103.99989469111588</v>
      </c>
      <c r="L109" s="14">
        <v>41510</v>
      </c>
      <c r="M109" s="43">
        <f>SUM(L109/H109)*100</f>
        <v>107.1004695804737</v>
      </c>
      <c r="N109" s="44">
        <v>42670</v>
      </c>
      <c r="O109" s="43">
        <f>SUM(N109/J109)*100</f>
        <v>108.01765950768045</v>
      </c>
      <c r="P109" s="44">
        <v>44997</v>
      </c>
      <c r="Q109" s="43">
        <f>SUM(P109/L109)*100</f>
        <v>108.40038544928933</v>
      </c>
    </row>
    <row r="110" spans="1:17" ht="19.5" customHeight="1">
      <c r="A110" s="16" t="s">
        <v>196</v>
      </c>
      <c r="B110" s="19" t="s">
        <v>44</v>
      </c>
      <c r="C110" s="18" t="s">
        <v>42</v>
      </c>
      <c r="D110" s="14"/>
      <c r="E110" s="14"/>
      <c r="F110" s="14">
        <v>41713</v>
      </c>
      <c r="G110" s="14">
        <v>95.9</v>
      </c>
      <c r="H110" s="14">
        <v>185707</v>
      </c>
      <c r="I110" s="40">
        <f>H110/178063*100</f>
        <v>104.29286263850435</v>
      </c>
      <c r="J110" s="14">
        <v>43600</v>
      </c>
      <c r="K110" s="40">
        <f>J110/F110*100</f>
        <v>104.52376956824013</v>
      </c>
      <c r="L110" s="14">
        <v>196048</v>
      </c>
      <c r="M110" s="43">
        <f>L110/H110*100</f>
        <v>105.56844922377724</v>
      </c>
      <c r="N110" s="44">
        <v>46333</v>
      </c>
      <c r="O110" s="43">
        <f>N110/J110*100</f>
        <v>106.26834862385321</v>
      </c>
      <c r="P110" s="55">
        <v>206865</v>
      </c>
      <c r="Q110" s="43">
        <f>P110/L110*100</f>
        <v>105.51752632008488</v>
      </c>
    </row>
    <row r="111" spans="1:17" ht="34.5" customHeight="1">
      <c r="A111" s="16" t="s">
        <v>197</v>
      </c>
      <c r="B111" s="19" t="s">
        <v>49</v>
      </c>
      <c r="C111" s="18" t="s">
        <v>7</v>
      </c>
      <c r="D111" s="14"/>
      <c r="E111" s="14" t="s">
        <v>93</v>
      </c>
      <c r="F111" s="14">
        <v>100.9</v>
      </c>
      <c r="G111" s="40"/>
      <c r="H111" s="14">
        <v>109.5</v>
      </c>
      <c r="I111" s="43"/>
      <c r="J111" s="14">
        <v>100.9</v>
      </c>
      <c r="K111" s="40"/>
      <c r="L111" s="14">
        <v>103.7</v>
      </c>
      <c r="M111" s="43"/>
      <c r="N111" s="44">
        <v>102</v>
      </c>
      <c r="O111" s="43"/>
      <c r="P111" s="44">
        <v>103.7</v>
      </c>
      <c r="Q111" s="43"/>
    </row>
    <row r="112" spans="1:17" ht="43.5" customHeight="1">
      <c r="A112" s="16" t="s">
        <v>198</v>
      </c>
      <c r="B112" s="19" t="s">
        <v>45</v>
      </c>
      <c r="C112" s="18" t="s">
        <v>42</v>
      </c>
      <c r="D112" s="14"/>
      <c r="E112" s="14"/>
      <c r="F112" s="14">
        <v>13106.2</v>
      </c>
      <c r="G112" s="40">
        <v>109.2</v>
      </c>
      <c r="H112" s="14">
        <v>13144.5</v>
      </c>
      <c r="I112" s="43">
        <v>109.2</v>
      </c>
      <c r="J112" s="14">
        <v>14534</v>
      </c>
      <c r="K112" s="40">
        <f>SUM(J112/F112)*100</f>
        <v>110.89408066411318</v>
      </c>
      <c r="L112" s="14">
        <v>14453.4</v>
      </c>
      <c r="M112" s="43">
        <f>SUM(L112/H112)*100</f>
        <v>109.95777701700331</v>
      </c>
      <c r="N112" s="44">
        <v>15792.5</v>
      </c>
      <c r="O112" s="43">
        <f>SUM(N112/J112)*100</f>
        <v>108.65900646759323</v>
      </c>
      <c r="P112" s="44">
        <v>15992</v>
      </c>
      <c r="Q112" s="43">
        <f>SUM(P112/L112)*100</f>
        <v>110.64524610126338</v>
      </c>
    </row>
    <row r="113" spans="1:17" ht="40.5" customHeight="1">
      <c r="A113" s="16" t="s">
        <v>199</v>
      </c>
      <c r="B113" s="19" t="s">
        <v>46</v>
      </c>
      <c r="C113" s="18" t="s">
        <v>7</v>
      </c>
      <c r="D113" s="14"/>
      <c r="E113" s="14" t="s">
        <v>93</v>
      </c>
      <c r="F113" s="14">
        <v>182.6</v>
      </c>
      <c r="G113" s="40"/>
      <c r="H113" s="14">
        <v>176.4</v>
      </c>
      <c r="I113" s="43"/>
      <c r="J113" s="14">
        <v>194.9</v>
      </c>
      <c r="K113" s="40"/>
      <c r="L113" s="14">
        <v>189.2</v>
      </c>
      <c r="M113" s="43"/>
      <c r="N113" s="44">
        <v>202.3</v>
      </c>
      <c r="O113" s="43"/>
      <c r="P113" s="44">
        <v>196.6</v>
      </c>
      <c r="Q113" s="43"/>
    </row>
    <row r="114" spans="1:17" ht="24.75" customHeight="1">
      <c r="A114" s="16" t="s">
        <v>200</v>
      </c>
      <c r="B114" s="19" t="s">
        <v>81</v>
      </c>
      <c r="C114" s="18" t="s">
        <v>47</v>
      </c>
      <c r="D114" s="14"/>
      <c r="E114" s="14"/>
      <c r="F114" s="50">
        <v>25.7</v>
      </c>
      <c r="G114" s="56">
        <f>F114/28.3*100</f>
        <v>90.81272084805653</v>
      </c>
      <c r="H114" s="50">
        <v>119.9</v>
      </c>
      <c r="I114" s="50">
        <f>H114/115.7*100</f>
        <v>103.63007778738115</v>
      </c>
      <c r="J114" s="50">
        <v>26.6</v>
      </c>
      <c r="K114" s="50">
        <f>J114/F114*100</f>
        <v>103.50194552529184</v>
      </c>
      <c r="L114" s="50">
        <v>127.9</v>
      </c>
      <c r="M114" s="52">
        <f>L114/H114*100</f>
        <v>106.67222685571309</v>
      </c>
      <c r="N114" s="52">
        <v>29</v>
      </c>
      <c r="O114" s="52">
        <f>N114/J114*100</f>
        <v>109.02255639097744</v>
      </c>
      <c r="P114" s="52">
        <v>140.6</v>
      </c>
      <c r="Q114" s="52">
        <f>P114/L114*100</f>
        <v>109.92963252541045</v>
      </c>
    </row>
    <row r="115" spans="1:17" ht="23.25" customHeight="1">
      <c r="A115" s="16" t="s">
        <v>201</v>
      </c>
      <c r="B115" s="19" t="s">
        <v>82</v>
      </c>
      <c r="C115" s="18" t="s">
        <v>47</v>
      </c>
      <c r="D115" s="14"/>
      <c r="E115" s="14"/>
      <c r="F115" s="50">
        <v>12.8</v>
      </c>
      <c r="G115" s="56">
        <f>F115/12.2*100</f>
        <v>104.91803278688525</v>
      </c>
      <c r="H115" s="50">
        <v>52.9</v>
      </c>
      <c r="I115" s="50">
        <f>H115/51.2*100</f>
        <v>103.3203125</v>
      </c>
      <c r="J115" s="50">
        <v>13.2</v>
      </c>
      <c r="K115" s="50">
        <f>J115/F115*100</f>
        <v>103.12499999999997</v>
      </c>
      <c r="L115" s="50">
        <v>54.7</v>
      </c>
      <c r="M115" s="52">
        <f>L115/H115*100</f>
        <v>103.40264650283555</v>
      </c>
      <c r="N115" s="52">
        <v>13.7</v>
      </c>
      <c r="O115" s="52">
        <f>N115/J115*100</f>
        <v>103.78787878787878</v>
      </c>
      <c r="P115" s="52">
        <v>58.4</v>
      </c>
      <c r="Q115" s="52">
        <f>P115/L115*100</f>
        <v>106.76416819012798</v>
      </c>
    </row>
    <row r="116" spans="1:17" ht="58.5" customHeight="1">
      <c r="A116" s="16" t="s">
        <v>202</v>
      </c>
      <c r="B116" s="23" t="s">
        <v>83</v>
      </c>
      <c r="C116" s="24" t="s">
        <v>64</v>
      </c>
      <c r="D116" s="14"/>
      <c r="E116" s="14"/>
      <c r="F116" s="14">
        <v>13.96</v>
      </c>
      <c r="G116" s="14">
        <v>125.7</v>
      </c>
      <c r="H116" s="14">
        <v>14.3</v>
      </c>
      <c r="I116" s="14">
        <v>128.8</v>
      </c>
      <c r="J116" s="14">
        <v>14.3</v>
      </c>
      <c r="K116" s="14">
        <v>102.4</v>
      </c>
      <c r="L116" s="14">
        <v>13.3</v>
      </c>
      <c r="M116" s="43">
        <f>SUM(L116/H116*100)</f>
        <v>93.00699300699301</v>
      </c>
      <c r="N116" s="44">
        <v>13.5</v>
      </c>
      <c r="O116" s="43">
        <f>SUM(N116/H116*100)</f>
        <v>94.4055944055944</v>
      </c>
      <c r="P116" s="43">
        <v>14</v>
      </c>
      <c r="Q116" s="43">
        <f>SUM(P116/L116*100)</f>
        <v>105.26315789473684</v>
      </c>
    </row>
    <row r="117" spans="1:17" ht="17.25" customHeight="1">
      <c r="A117" s="33"/>
      <c r="B117" s="34"/>
      <c r="C117" s="35"/>
      <c r="D117" s="36"/>
      <c r="E117" s="36"/>
      <c r="F117" s="36"/>
      <c r="G117" s="36"/>
      <c r="H117" s="36"/>
      <c r="I117" s="36"/>
      <c r="J117" s="36"/>
      <c r="K117" s="36"/>
      <c r="L117" s="36"/>
      <c r="M117" s="33"/>
      <c r="N117" s="33"/>
      <c r="O117" s="33"/>
      <c r="P117" s="33"/>
      <c r="Q117" s="33"/>
    </row>
    <row r="118" spans="1:17" ht="18.75" hidden="1">
      <c r="A118" s="33"/>
      <c r="B118" s="34"/>
      <c r="C118" s="35"/>
      <c r="D118" s="36"/>
      <c r="E118" s="36"/>
      <c r="F118" s="36"/>
      <c r="G118" s="36"/>
      <c r="H118" s="36"/>
      <c r="I118" s="36"/>
      <c r="J118" s="36"/>
      <c r="K118" s="36"/>
      <c r="L118" s="36"/>
      <c r="M118" s="33"/>
      <c r="N118" s="33"/>
      <c r="O118" s="33"/>
      <c r="P118" s="33"/>
      <c r="Q118" s="33"/>
    </row>
    <row r="119" spans="1:17" ht="22.5">
      <c r="A119" s="33"/>
      <c r="B119" s="37" t="s">
        <v>230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1:17" ht="22.5">
      <c r="A120" s="33"/>
      <c r="B120" s="38" t="s">
        <v>237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22.5">
      <c r="A121" s="33"/>
      <c r="B121" s="38" t="s">
        <v>231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3" spans="2:11" ht="34.5" customHeight="1">
      <c r="B123" s="71" t="s">
        <v>265</v>
      </c>
      <c r="C123" s="72"/>
      <c r="D123" s="72"/>
      <c r="E123" s="72"/>
      <c r="F123" s="72"/>
      <c r="G123" s="72"/>
      <c r="H123" s="72"/>
      <c r="I123" s="72"/>
      <c r="J123" s="72"/>
      <c r="K123" s="72"/>
    </row>
  </sheetData>
  <sheetProtection/>
  <mergeCells count="16">
    <mergeCell ref="B71:C71"/>
    <mergeCell ref="B80:C80"/>
    <mergeCell ref="B52:C52"/>
    <mergeCell ref="B55:C55"/>
    <mergeCell ref="B67:C67"/>
    <mergeCell ref="B58:C58"/>
    <mergeCell ref="B123:K123"/>
    <mergeCell ref="B49:C49"/>
    <mergeCell ref="B21:C21"/>
    <mergeCell ref="B4:K4"/>
    <mergeCell ref="B8:C8"/>
    <mergeCell ref="B12:C12"/>
    <mergeCell ref="B46:C46"/>
    <mergeCell ref="B30:C30"/>
    <mergeCell ref="B86:C86"/>
    <mergeCell ref="B107:C107"/>
  </mergeCells>
  <printOptions/>
  <pageMargins left="0.31496062992125984" right="0.35433070866141736" top="0.3937007874015748" bottom="0.3937007874015748" header="0.5118110236220472" footer="0.5118110236220472"/>
  <pageSetup horizontalDpi="600" verticalDpi="600" orientation="landscape" paperSize="9" scale="45" r:id="rId1"/>
  <rowBreaks count="4" manualBreakCount="4">
    <brk id="29" max="255" man="1"/>
    <brk id="57" max="255" man="1"/>
    <brk id="7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Pivovarchik_LG</cp:lastModifiedBy>
  <cp:lastPrinted>2013-04-10T10:59:57Z</cp:lastPrinted>
  <dcterms:created xsi:type="dcterms:W3CDTF">2007-04-10T02:31:52Z</dcterms:created>
  <dcterms:modified xsi:type="dcterms:W3CDTF">2013-04-25T08:52:26Z</dcterms:modified>
  <cp:category/>
  <cp:version/>
  <cp:contentType/>
  <cp:contentStatus/>
</cp:coreProperties>
</file>